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Win10 文档\Desktop\"/>
    </mc:Choice>
  </mc:AlternateContent>
  <xr:revisionPtr revIDLastSave="0" documentId="13_ncr:1_{814275BD-F26D-447E-8C99-534161C62D3A}" xr6:coauthVersionLast="47" xr6:coauthVersionMax="47" xr10:uidLastSave="{00000000-0000-0000-0000-000000000000}"/>
  <bookViews>
    <workbookView xWindow="-120" yWindow="-120" windowWidth="29040" windowHeight="15990" tabRatio="766" xr2:uid="{00000000-000D-0000-FFFF-FFFF00000000}"/>
  </bookViews>
  <sheets>
    <sheet name="招聘计划表" sheetId="34" r:id="rId1"/>
    <sheet name="总体目标季度分解" sheetId="30" state="hidden" r:id="rId2"/>
  </sheets>
  <externalReferences>
    <externalReference r:id="rId3"/>
  </externalReferences>
  <definedNames>
    <definedName name="_xlnm._FilterDatabase" localSheetId="0" hidden="1">招聘计划表!$A$2:$G$7</definedName>
    <definedName name="_xlnm._FilterDatabase" localSheetId="1" hidden="1">总体目标季度分解!$A$3:$AE$32</definedName>
    <definedName name="PLBGZ">'[1]披露表(国资)'!$B$6:$B$8</definedName>
    <definedName name="PLBSS">'[1]披露表(上市)'!$C$6:$C$13</definedName>
    <definedName name="_xlnm.Print_Area" localSheetId="1">总体目标季度分解!$A$1:$AD$32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30" l="1"/>
  <c r="AC32" i="30"/>
  <c r="AB32" i="30"/>
  <c r="AC31" i="30"/>
  <c r="AB31" i="30"/>
  <c r="AA31" i="30"/>
  <c r="Z31" i="30"/>
  <c r="Y31" i="30"/>
  <c r="X31" i="30"/>
  <c r="W31" i="30"/>
  <c r="R31" i="30"/>
  <c r="M31" i="30"/>
  <c r="H31" i="30"/>
  <c r="AA30" i="30"/>
  <c r="Z30" i="30"/>
  <c r="Y30" i="30"/>
  <c r="X30" i="30"/>
  <c r="AA29" i="30"/>
  <c r="Z29" i="30"/>
  <c r="Y29" i="30"/>
  <c r="X29" i="30"/>
  <c r="W29" i="30"/>
  <c r="AA28" i="30"/>
  <c r="Z28" i="30"/>
  <c r="Y28" i="30"/>
  <c r="X28" i="30"/>
  <c r="W28" i="30"/>
  <c r="AA27" i="30"/>
  <c r="X27" i="30"/>
  <c r="AA26" i="30"/>
  <c r="AA25" i="30"/>
  <c r="AA21" i="30"/>
  <c r="Z21" i="30"/>
  <c r="Y21" i="30"/>
  <c r="X21" i="30"/>
  <c r="W21" i="30"/>
  <c r="AA19" i="30"/>
  <c r="AC17" i="30"/>
  <c r="AB17" i="30"/>
  <c r="AA17" i="30"/>
  <c r="L17" i="30"/>
  <c r="K17" i="30"/>
  <c r="J17" i="30"/>
  <c r="I17" i="30"/>
  <c r="AC16" i="30"/>
  <c r="AB16" i="30"/>
  <c r="AA16" i="30"/>
  <c r="W16" i="30"/>
  <c r="M16" i="30"/>
  <c r="L16" i="30"/>
  <c r="K16" i="30"/>
  <c r="H16" i="30"/>
  <c r="AC15" i="30"/>
  <c r="AB15" i="30"/>
  <c r="AA15" i="30"/>
  <c r="W15" i="30"/>
  <c r="M15" i="30"/>
  <c r="L15" i="30"/>
  <c r="H15" i="30"/>
  <c r="AC14" i="30"/>
  <c r="AB14" i="30"/>
  <c r="AA14" i="30"/>
  <c r="W14" i="30"/>
  <c r="V14" i="30"/>
  <c r="U14" i="30"/>
  <c r="T14" i="30"/>
  <c r="S14" i="30"/>
  <c r="M14" i="30"/>
  <c r="L14" i="30"/>
  <c r="K14" i="30"/>
  <c r="H14" i="30"/>
  <c r="AC13" i="30"/>
  <c r="AB13" i="30"/>
  <c r="AC12" i="30"/>
  <c r="AB12" i="30"/>
  <c r="AA12" i="30"/>
  <c r="W12" i="30"/>
  <c r="V12" i="30"/>
  <c r="U12" i="30"/>
  <c r="O12" i="30"/>
  <c r="M12" i="30"/>
  <c r="L12" i="30"/>
  <c r="K12" i="30"/>
  <c r="J12" i="30"/>
  <c r="H12" i="30"/>
  <c r="AC11" i="30"/>
  <c r="AB11" i="30"/>
  <c r="AA11" i="30"/>
  <c r="V11" i="30"/>
  <c r="L11" i="30"/>
  <c r="K11" i="30"/>
  <c r="AC10" i="30"/>
  <c r="AB10" i="30"/>
  <c r="AA10" i="30"/>
  <c r="Z10" i="30"/>
  <c r="Y10" i="30"/>
  <c r="W10" i="30"/>
  <c r="V10" i="30"/>
  <c r="M10" i="30"/>
  <c r="L10" i="30"/>
  <c r="K10" i="30"/>
  <c r="H10" i="30"/>
  <c r="AC9" i="30"/>
  <c r="AB9" i="30"/>
  <c r="AA9" i="30"/>
  <c r="W9" i="30"/>
  <c r="Q9" i="30"/>
  <c r="P9" i="30"/>
  <c r="M9" i="30"/>
  <c r="L9" i="30"/>
  <c r="K9" i="30"/>
  <c r="H9" i="30"/>
  <c r="AC8" i="30"/>
  <c r="AB8" i="30"/>
  <c r="X8" i="30"/>
  <c r="J8" i="30"/>
  <c r="AC7" i="30"/>
  <c r="AB7" i="30"/>
  <c r="X7" i="30"/>
  <c r="S7" i="30"/>
  <c r="I7" i="30"/>
  <c r="AC6" i="30"/>
  <c r="AB6" i="30"/>
  <c r="AA6" i="30"/>
  <c r="Z6" i="30"/>
  <c r="Y6" i="30"/>
  <c r="X6" i="30"/>
  <c r="W6" i="30"/>
  <c r="S6" i="30"/>
  <c r="M6" i="30"/>
  <c r="L6" i="30"/>
  <c r="K6" i="30"/>
  <c r="J6" i="30"/>
  <c r="I6" i="30"/>
  <c r="H6" i="30"/>
  <c r="AA5" i="30"/>
  <c r="Z5" i="30"/>
  <c r="Y5" i="30"/>
  <c r="X5" i="30"/>
  <c r="W5" i="30"/>
  <c r="V5" i="30"/>
  <c r="U5" i="30"/>
  <c r="T5" i="30"/>
  <c r="S5" i="30"/>
  <c r="R5" i="30"/>
  <c r="Q5" i="30"/>
  <c r="P5" i="30"/>
  <c r="O5" i="30"/>
  <c r="N5" i="30"/>
  <c r="M5" i="30"/>
  <c r="L5" i="30"/>
  <c r="K5" i="30"/>
  <c r="J5" i="30"/>
  <c r="I5" i="30"/>
  <c r="H5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H8" authorId="0" shapeId="0" xr:uid="{00000000-0006-0000-0100-000001000000}">
      <text>
        <r>
          <rPr>
            <b/>
            <sz val="9"/>
            <rFont val="宋体"/>
            <charset val="134"/>
          </rPr>
          <t xml:space="preserve">内租30，外租24，103.12是内外费用，
</t>
        </r>
        <r>
          <rPr>
            <sz val="9"/>
            <rFont val="宋体"/>
            <charset val="134"/>
          </rPr>
          <t xml:space="preserve">
</t>
        </r>
      </text>
    </comment>
    <comment ref="W12" authorId="0" shapeId="0" xr:uid="{00000000-0006-0000-0100-000002000000}">
      <text>
        <r>
          <rPr>
            <sz val="9"/>
            <rFont val="宋体"/>
            <charset val="134"/>
          </rPr>
          <t xml:space="preserve">暂估
</t>
        </r>
      </text>
    </comment>
    <comment ref="H15" authorId="0" shapeId="0" xr:uid="{00000000-0006-0000-0100-000003000000}">
      <text>
        <r>
          <rPr>
            <b/>
            <sz val="9"/>
            <rFont val="宋体"/>
            <charset val="134"/>
          </rPr>
          <t>有80万是政府给钱，报表中放入其他收益</t>
        </r>
      </text>
    </comment>
    <comment ref="W15" authorId="0" shapeId="0" xr:uid="{00000000-0006-0000-0100-000004000000}">
      <text>
        <r>
          <rPr>
            <sz val="9"/>
            <rFont val="宋体"/>
            <charset val="134"/>
          </rPr>
          <t xml:space="preserve">
</t>
        </r>
      </text>
    </comment>
    <comment ref="W19" authorId="0" shapeId="0" xr:uid="{00000000-0006-0000-0100-000005000000}">
      <text>
        <r>
          <rPr>
            <sz val="9"/>
            <rFont val="宋体"/>
            <charset val="134"/>
          </rPr>
          <t xml:space="preserve">含市场费422-230+80=172万
</t>
        </r>
      </text>
    </comment>
    <comment ref="W24" authorId="0" shapeId="0" xr:uid="{00000000-0006-0000-0100-000006000000}">
      <text>
        <r>
          <rPr>
            <b/>
            <sz val="9"/>
            <rFont val="宋体"/>
            <charset val="134"/>
          </rPr>
          <t>含市场费228万</t>
        </r>
      </text>
    </comment>
    <comment ref="W30" authorId="0" shapeId="0" xr:uid="{00000000-0006-0000-0100-000007000000}">
      <text>
        <r>
          <rPr>
            <b/>
            <sz val="9"/>
            <rFont val="宋体"/>
            <charset val="134"/>
          </rPr>
          <t>假设1000万研发费用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<sst xmlns="http://schemas.openxmlformats.org/spreadsheetml/2006/main" count="164" uniqueCount="114">
  <si>
    <t>招聘计划</t>
  </si>
  <si>
    <t>序号</t>
  </si>
  <si>
    <t>部门</t>
  </si>
  <si>
    <t>计划招聘岗位名称</t>
  </si>
  <si>
    <t>需求人数</t>
  </si>
  <si>
    <t>薪酬待遇</t>
  </si>
  <si>
    <t>岗位要求</t>
  </si>
  <si>
    <t>工作地</t>
  </si>
  <si>
    <t>营销中心</t>
  </si>
  <si>
    <t>区域营销总监/客户经理</t>
  </si>
  <si>
    <t>10-15K</t>
  </si>
  <si>
    <t>1、工程、市场营销相关专业，本科以上学历；
2、具有3年以上相关销售管理经历，具有道路、桥梁等建设工程行业销售经验者优先；
3、具备较强的市场分析、营销、推广能力和良好的人际沟通、协调能力，分析和解决问题的能力； 
4、具备良好的客户服务意识； 
5、具有有敏锐的市场洞察力，有强烈的事业心、责任心和积极的工作态度。</t>
  </si>
  <si>
    <t>云南
四川
重庆
贵阳
广西
广州
福建
西北片区</t>
  </si>
  <si>
    <t>勘测事业部</t>
  </si>
  <si>
    <t>项目经理</t>
  </si>
  <si>
    <t>7-9K</t>
  </si>
  <si>
    <t>1.地球物理学、物探、地质、地球物理专业，本科及以上学历，5年及以上工作经历；
2.能够参加或带领队伍完成物探勘察或地质工作；
3.持有试验检测师证书优先。</t>
  </si>
  <si>
    <t>云南、广西、贵州、重庆</t>
  </si>
  <si>
    <t>研发中心</t>
  </si>
  <si>
    <t>科研项目经理</t>
  </si>
  <si>
    <t>1、硕士研究生及以上学历，水文地质、地球物理、地质工程、岩土工程等相关专业；
2、工作经验2年以上，主持参或与过2项以上科研项目，公开发表过2篇以上论文或获得2项以上专利；
3、文字语言组织能力较强，能撰写科研报告；
4、沟通能力、组织科研项目实施能力较强。</t>
  </si>
  <si>
    <t>昆明</t>
  </si>
  <si>
    <t>科研项目助理</t>
  </si>
  <si>
    <t>8-10K</t>
  </si>
  <si>
    <t>1、硕士研究生及以上学历，水文地质、地球物理、地质工程、岩土工程等相关专业；
2、主持参或与过2项以上科研项目，公开发表过2篇以上论文或获得2项以上专利；
3、文字语言组织能力较强，能撰写科研报告；
4、沟通能力、组织科研项目实施能力较强。</t>
  </si>
  <si>
    <t>科研工作站技术研发专家</t>
  </si>
  <si>
    <t>2-3</t>
  </si>
  <si>
    <t>年薪30-60W</t>
  </si>
  <si>
    <r>
      <rPr>
        <b/>
        <sz val="9"/>
        <rFont val="Arial Narrow"/>
        <family val="2"/>
      </rPr>
      <t>2019</t>
    </r>
    <r>
      <rPr>
        <b/>
        <sz val="9"/>
        <rFont val="宋体"/>
        <charset val="134"/>
      </rPr>
      <t>年年度预算目标</t>
    </r>
  </si>
  <si>
    <r>
      <rPr>
        <b/>
        <sz val="9"/>
        <rFont val="宋体"/>
        <charset val="134"/>
      </rPr>
      <t>单位：云南航天工程物探检测股份有限公司</t>
    </r>
  </si>
  <si>
    <r>
      <rPr>
        <b/>
        <sz val="9"/>
        <rFont val="宋体"/>
        <charset val="134"/>
      </rPr>
      <t>单位：万元</t>
    </r>
  </si>
  <si>
    <r>
      <rPr>
        <b/>
        <sz val="9"/>
        <rFont val="宋体"/>
        <charset val="134"/>
      </rPr>
      <t>中心</t>
    </r>
  </si>
  <si>
    <r>
      <rPr>
        <b/>
        <sz val="9"/>
        <rFont val="宋体"/>
        <charset val="134"/>
      </rPr>
      <t>主管领导</t>
    </r>
  </si>
  <si>
    <r>
      <rPr>
        <b/>
        <sz val="9"/>
        <rFont val="宋体"/>
        <charset val="134"/>
      </rPr>
      <t>分管领导</t>
    </r>
  </si>
  <si>
    <r>
      <rPr>
        <b/>
        <sz val="9"/>
        <rFont val="宋体"/>
        <charset val="134"/>
      </rPr>
      <t>事业部</t>
    </r>
    <r>
      <rPr>
        <b/>
        <sz val="9"/>
        <rFont val="Arial Narrow"/>
        <family val="2"/>
      </rPr>
      <t>/</t>
    </r>
    <r>
      <rPr>
        <b/>
        <sz val="9"/>
        <rFont val="宋体"/>
        <charset val="134"/>
      </rPr>
      <t>部门负责人</t>
    </r>
  </si>
  <si>
    <r>
      <rPr>
        <b/>
        <sz val="9"/>
        <rFont val="宋体"/>
        <charset val="134"/>
      </rPr>
      <t>考核部门</t>
    </r>
  </si>
  <si>
    <r>
      <rPr>
        <b/>
        <sz val="9"/>
        <rFont val="宋体"/>
        <charset val="134"/>
      </rPr>
      <t>人数</t>
    </r>
  </si>
  <si>
    <r>
      <rPr>
        <b/>
        <sz val="9"/>
        <rFont val="宋体"/>
        <charset val="134"/>
      </rPr>
      <t>合同</t>
    </r>
  </si>
  <si>
    <r>
      <rPr>
        <b/>
        <sz val="9"/>
        <rFont val="宋体"/>
        <charset val="134"/>
      </rPr>
      <t>产值</t>
    </r>
  </si>
  <si>
    <r>
      <rPr>
        <b/>
        <sz val="9"/>
        <rFont val="宋体"/>
        <charset val="134"/>
      </rPr>
      <t>计量</t>
    </r>
  </si>
  <si>
    <t>收款</t>
  </si>
  <si>
    <r>
      <rPr>
        <b/>
        <sz val="9"/>
        <rFont val="宋体"/>
        <charset val="134"/>
      </rPr>
      <t>成本</t>
    </r>
    <r>
      <rPr>
        <b/>
        <sz val="9"/>
        <rFont val="Arial Narrow"/>
        <family val="2"/>
      </rPr>
      <t>/</t>
    </r>
    <r>
      <rPr>
        <b/>
        <sz val="9"/>
        <rFont val="宋体"/>
        <charset val="134"/>
      </rPr>
      <t>费用</t>
    </r>
  </si>
  <si>
    <r>
      <rPr>
        <b/>
        <sz val="9"/>
        <rFont val="宋体"/>
        <charset val="134"/>
      </rPr>
      <t>产值毛利</t>
    </r>
  </si>
  <si>
    <r>
      <rPr>
        <b/>
        <sz val="9"/>
        <rFont val="宋体"/>
        <charset val="134"/>
      </rPr>
      <t>计量毛利</t>
    </r>
  </si>
  <si>
    <r>
      <rPr>
        <b/>
        <sz val="9"/>
        <rFont val="宋体"/>
        <charset val="134"/>
      </rPr>
      <t>产值毛利率</t>
    </r>
  </si>
  <si>
    <r>
      <rPr>
        <b/>
        <sz val="9"/>
        <rFont val="宋体"/>
        <charset val="134"/>
      </rPr>
      <t>科目</t>
    </r>
  </si>
  <si>
    <r>
      <rPr>
        <b/>
        <sz val="9"/>
        <rFont val="宋体"/>
        <charset val="134"/>
      </rPr>
      <t>审核毛利</t>
    </r>
  </si>
  <si>
    <r>
      <rPr>
        <b/>
        <sz val="9"/>
        <rFont val="宋体"/>
        <charset val="134"/>
      </rPr>
      <t>成本中已含市场费</t>
    </r>
  </si>
  <si>
    <r>
      <rPr>
        <b/>
        <sz val="9"/>
        <rFont val="宋体"/>
        <charset val="134"/>
      </rPr>
      <t>增值税金及附加</t>
    </r>
  </si>
  <si>
    <r>
      <rPr>
        <b/>
        <sz val="9"/>
        <rFont val="宋体"/>
        <charset val="134"/>
      </rPr>
      <t>附加税金</t>
    </r>
  </si>
  <si>
    <t>年度目标</t>
  </si>
  <si>
    <t>一季度</t>
  </si>
  <si>
    <t>二季度</t>
  </si>
  <si>
    <t>三季度</t>
  </si>
  <si>
    <t>四季度</t>
  </si>
  <si>
    <r>
      <rPr>
        <b/>
        <sz val="9"/>
        <rFont val="宋体"/>
        <charset val="134"/>
      </rPr>
      <t>合计</t>
    </r>
  </si>
  <si>
    <r>
      <rPr>
        <sz val="9"/>
        <rFont val="宋体"/>
        <charset val="134"/>
      </rPr>
      <t>利润中心</t>
    </r>
  </si>
  <si>
    <r>
      <rPr>
        <sz val="9"/>
        <rFont val="宋体"/>
        <charset val="134"/>
      </rPr>
      <t>总经理</t>
    </r>
  </si>
  <si>
    <r>
      <rPr>
        <sz val="9"/>
        <rFont val="宋体"/>
        <charset val="134"/>
      </rPr>
      <t>许强</t>
    </r>
  </si>
  <si>
    <r>
      <rPr>
        <sz val="9"/>
        <rFont val="宋体"/>
        <charset val="134"/>
      </rPr>
      <t>桥梁与咨询事业部</t>
    </r>
  </si>
  <si>
    <r>
      <rPr>
        <sz val="9"/>
        <rFont val="Arial Narrow"/>
        <family val="2"/>
      </rPr>
      <t>01-</t>
    </r>
    <r>
      <rPr>
        <sz val="9"/>
        <rFont val="宋体"/>
        <charset val="134"/>
      </rPr>
      <t>桥梁事业部</t>
    </r>
  </si>
  <si>
    <r>
      <rPr>
        <sz val="9"/>
        <rFont val="宋体"/>
        <charset val="134"/>
      </rPr>
      <t>主营业务</t>
    </r>
  </si>
  <si>
    <r>
      <rPr>
        <sz val="9"/>
        <rFont val="Arial Narrow"/>
        <family val="2"/>
      </rPr>
      <t xml:space="preserve">      </t>
    </r>
    <r>
      <rPr>
        <sz val="9"/>
        <rFont val="宋体"/>
        <charset val="134"/>
      </rPr>
      <t>品质工程</t>
    </r>
    <r>
      <rPr>
        <sz val="9"/>
        <rFont val="Arial Narrow"/>
        <family val="2"/>
      </rPr>
      <t xml:space="preserve"> </t>
    </r>
  </si>
  <si>
    <r>
      <rPr>
        <sz val="9"/>
        <rFont val="宋体"/>
        <charset val="134"/>
      </rPr>
      <t>营销中心</t>
    </r>
    <r>
      <rPr>
        <sz val="9"/>
        <rFont val="Arial Narrow"/>
        <family val="2"/>
      </rPr>
      <t>1000</t>
    </r>
  </si>
  <si>
    <r>
      <rPr>
        <sz val="9"/>
        <rFont val="Arial Narrow"/>
        <family val="2"/>
      </rPr>
      <t>18 -</t>
    </r>
    <r>
      <rPr>
        <sz val="9"/>
        <rFont val="宋体"/>
        <charset val="134"/>
      </rPr>
      <t>桥检车租赁</t>
    </r>
  </si>
  <si>
    <r>
      <rPr>
        <sz val="9"/>
        <rFont val="宋体"/>
        <charset val="134"/>
      </rPr>
      <t>其他业务</t>
    </r>
  </si>
  <si>
    <r>
      <rPr>
        <sz val="9"/>
        <rFont val="宋体"/>
        <charset val="134"/>
      </rPr>
      <t>范明坤</t>
    </r>
  </si>
  <si>
    <r>
      <rPr>
        <sz val="9"/>
        <rFont val="宋体"/>
        <charset val="134"/>
      </rPr>
      <t>隧道与勘测事业部</t>
    </r>
  </si>
  <si>
    <r>
      <rPr>
        <sz val="9"/>
        <rFont val="Arial Narrow"/>
        <family val="2"/>
      </rPr>
      <t>02-</t>
    </r>
    <r>
      <rPr>
        <sz val="9"/>
        <rFont val="宋体"/>
        <charset val="134"/>
      </rPr>
      <t>隧道事业部</t>
    </r>
  </si>
  <si>
    <r>
      <rPr>
        <sz val="9"/>
        <rFont val="Arial Narrow"/>
        <family val="2"/>
      </rPr>
      <t>03-</t>
    </r>
    <r>
      <rPr>
        <sz val="9"/>
        <rFont val="宋体"/>
        <charset val="134"/>
      </rPr>
      <t>物探事业部</t>
    </r>
  </si>
  <si>
    <t>吴先锋</t>
  </si>
  <si>
    <r>
      <rPr>
        <sz val="9"/>
        <rFont val="宋体"/>
        <charset val="134"/>
      </rPr>
      <t>道路与材料事业部</t>
    </r>
  </si>
  <si>
    <r>
      <rPr>
        <sz val="9"/>
        <rFont val="Arial Narrow"/>
        <family val="2"/>
      </rPr>
      <t>04-</t>
    </r>
    <r>
      <rPr>
        <sz val="9"/>
        <rFont val="宋体"/>
        <charset val="134"/>
      </rPr>
      <t>材料事业部</t>
    </r>
  </si>
  <si>
    <r>
      <rPr>
        <sz val="9"/>
        <rFont val="Arial Narrow"/>
        <family val="2"/>
      </rPr>
      <t>05-</t>
    </r>
    <r>
      <rPr>
        <sz val="9"/>
        <rFont val="宋体"/>
        <charset val="134"/>
      </rPr>
      <t>道路事业部</t>
    </r>
  </si>
  <si>
    <r>
      <rPr>
        <sz val="9"/>
        <rFont val="宋体"/>
        <charset val="134"/>
      </rPr>
      <t>刘巍</t>
    </r>
  </si>
  <si>
    <t xml:space="preserve">  老挝万万项目</t>
  </si>
  <si>
    <r>
      <rPr>
        <sz val="9"/>
        <rFont val="宋体"/>
        <charset val="134"/>
      </rPr>
      <t>曾</t>
    </r>
    <r>
      <rPr>
        <sz val="9"/>
        <rFont val="Arial Narrow"/>
        <family val="2"/>
      </rPr>
      <t xml:space="preserve">  </t>
    </r>
    <r>
      <rPr>
        <sz val="9"/>
        <rFont val="宋体"/>
        <charset val="134"/>
      </rPr>
      <t>健</t>
    </r>
  </si>
  <si>
    <r>
      <rPr>
        <sz val="9"/>
        <rFont val="宋体"/>
        <charset val="134"/>
      </rPr>
      <t>信息事业部</t>
    </r>
  </si>
  <si>
    <r>
      <rPr>
        <sz val="9"/>
        <rFont val="Arial Narrow"/>
        <family val="2"/>
      </rPr>
      <t>07-</t>
    </r>
    <r>
      <rPr>
        <sz val="9"/>
        <rFont val="宋体"/>
        <charset val="134"/>
      </rPr>
      <t>信息中心</t>
    </r>
  </si>
  <si>
    <r>
      <rPr>
        <sz val="9"/>
        <rFont val="Arial Narrow"/>
        <family val="2"/>
      </rPr>
      <t>08-</t>
    </r>
    <r>
      <rPr>
        <sz val="9"/>
        <rFont val="宋体"/>
        <charset val="134"/>
      </rPr>
      <t>咨询（课题项目组）</t>
    </r>
  </si>
  <si>
    <r>
      <rPr>
        <sz val="9"/>
        <rFont val="宋体"/>
        <charset val="134"/>
      </rPr>
      <t>营销中心</t>
    </r>
    <r>
      <rPr>
        <sz val="9"/>
        <rFont val="Arial Narrow"/>
        <family val="2"/>
      </rPr>
      <t>2000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</si>
  <si>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王运生</t>
    </r>
  </si>
  <si>
    <r>
      <rPr>
        <sz val="9"/>
        <rFont val="宋体"/>
        <charset val="134"/>
      </rPr>
      <t>仪器销售中心</t>
    </r>
  </si>
  <si>
    <r>
      <rPr>
        <sz val="9"/>
        <rFont val="Arial Narrow"/>
        <family val="2"/>
      </rPr>
      <t>06-</t>
    </r>
    <r>
      <rPr>
        <sz val="9"/>
        <rFont val="宋体"/>
        <charset val="134"/>
      </rPr>
      <t>仪器中心</t>
    </r>
  </si>
  <si>
    <r>
      <rPr>
        <sz val="9"/>
        <rFont val="宋体"/>
        <charset val="134"/>
      </rPr>
      <t>陈素贵</t>
    </r>
  </si>
  <si>
    <r>
      <rPr>
        <sz val="9"/>
        <rFont val="宋体"/>
        <charset val="134"/>
      </rPr>
      <t>物业管理</t>
    </r>
  </si>
  <si>
    <r>
      <rPr>
        <sz val="9"/>
        <rFont val="Arial Narrow"/>
        <family val="2"/>
      </rPr>
      <t>09-</t>
    </r>
    <r>
      <rPr>
        <sz val="9"/>
        <rFont val="宋体"/>
        <charset val="134"/>
      </rPr>
      <t>物业管理</t>
    </r>
  </si>
  <si>
    <r>
      <rPr>
        <sz val="9"/>
        <rFont val="宋体"/>
        <charset val="134"/>
      </rPr>
      <t>成本中心</t>
    </r>
  </si>
  <si>
    <r>
      <rPr>
        <sz val="9"/>
        <rFont val="Arial Narrow"/>
        <family val="2"/>
      </rPr>
      <t>11-</t>
    </r>
    <r>
      <rPr>
        <sz val="9"/>
        <rFont val="宋体"/>
        <charset val="134"/>
      </rPr>
      <t>营销中心</t>
    </r>
  </si>
  <si>
    <r>
      <rPr>
        <sz val="9"/>
        <rFont val="宋体"/>
        <charset val="134"/>
      </rPr>
      <t>营业费用</t>
    </r>
  </si>
  <si>
    <r>
      <rPr>
        <sz val="9"/>
        <rFont val="Arial Narrow"/>
        <family val="2"/>
      </rPr>
      <t>15-</t>
    </r>
    <r>
      <rPr>
        <sz val="9"/>
        <rFont val="宋体"/>
        <charset val="134"/>
      </rPr>
      <t>总经办</t>
    </r>
  </si>
  <si>
    <r>
      <rPr>
        <sz val="9"/>
        <rFont val="Arial Narrow"/>
        <family val="2"/>
      </rPr>
      <t>12-</t>
    </r>
    <r>
      <rPr>
        <sz val="9"/>
        <rFont val="宋体"/>
        <charset val="134"/>
      </rPr>
      <t>行政部</t>
    </r>
  </si>
  <si>
    <r>
      <rPr>
        <sz val="9"/>
        <rFont val="宋体"/>
        <charset val="134"/>
      </rPr>
      <t>管理费用</t>
    </r>
  </si>
  <si>
    <r>
      <rPr>
        <sz val="9"/>
        <rFont val="宋体"/>
        <charset val="134"/>
      </rPr>
      <t>陈晓峰</t>
    </r>
  </si>
  <si>
    <r>
      <rPr>
        <sz val="9"/>
        <rFont val="Arial Narrow"/>
        <family val="2"/>
      </rPr>
      <t>21-</t>
    </r>
    <r>
      <rPr>
        <sz val="9"/>
        <rFont val="宋体"/>
        <charset val="134"/>
      </rPr>
      <t>人力资源部</t>
    </r>
  </si>
  <si>
    <r>
      <rPr>
        <sz val="9"/>
        <rFont val="宋体"/>
        <charset val="134"/>
      </rPr>
      <t>杨旭惠</t>
    </r>
  </si>
  <si>
    <r>
      <rPr>
        <sz val="9"/>
        <rFont val="Arial Narrow"/>
        <family val="2"/>
      </rPr>
      <t>13-</t>
    </r>
    <r>
      <rPr>
        <sz val="9"/>
        <rFont val="宋体"/>
        <charset val="134"/>
      </rPr>
      <t>资产财务部</t>
    </r>
  </si>
  <si>
    <r>
      <rPr>
        <sz val="9"/>
        <rFont val="宋体"/>
        <charset val="134"/>
      </rPr>
      <t>苏建坤、梁丽萍</t>
    </r>
  </si>
  <si>
    <r>
      <rPr>
        <sz val="9"/>
        <rFont val="Arial Narrow"/>
        <family val="2"/>
      </rPr>
      <t>14-</t>
    </r>
    <r>
      <rPr>
        <sz val="9"/>
        <rFont val="宋体"/>
        <charset val="134"/>
      </rPr>
      <t>战略发展部</t>
    </r>
  </si>
  <si>
    <r>
      <rPr>
        <sz val="9"/>
        <rFont val="宋体"/>
        <charset val="134"/>
      </rPr>
      <t>刘浩</t>
    </r>
  </si>
  <si>
    <r>
      <rPr>
        <sz val="9"/>
        <rFont val="Arial Narrow"/>
        <family val="2"/>
      </rPr>
      <t>16-</t>
    </r>
    <r>
      <rPr>
        <sz val="9"/>
        <rFont val="宋体"/>
        <charset val="134"/>
      </rPr>
      <t>董事会</t>
    </r>
  </si>
  <si>
    <t>范明外</t>
  </si>
  <si>
    <r>
      <rPr>
        <sz val="9"/>
        <rFont val="Arial Narrow"/>
        <family val="2"/>
      </rPr>
      <t>17-</t>
    </r>
    <r>
      <rPr>
        <sz val="9"/>
        <rFont val="宋体"/>
        <charset val="134"/>
      </rPr>
      <t>技术质量部</t>
    </r>
  </si>
  <si>
    <r>
      <rPr>
        <sz val="9"/>
        <rFont val="宋体"/>
        <charset val="134"/>
      </rPr>
      <t>张维平</t>
    </r>
  </si>
  <si>
    <r>
      <rPr>
        <sz val="9"/>
        <rFont val="Arial Narrow"/>
        <family val="2"/>
      </rPr>
      <t>19-</t>
    </r>
    <r>
      <rPr>
        <sz val="9"/>
        <rFont val="宋体"/>
        <charset val="134"/>
      </rPr>
      <t>三维探测应用技术研究室</t>
    </r>
  </si>
  <si>
    <r>
      <rPr>
        <sz val="9"/>
        <rFont val="宋体"/>
        <charset val="134"/>
      </rPr>
      <t>高广柱</t>
    </r>
  </si>
  <si>
    <r>
      <rPr>
        <sz val="9"/>
        <rFont val="Arial Narrow"/>
        <family val="2"/>
      </rPr>
      <t>20-</t>
    </r>
    <r>
      <rPr>
        <sz val="9"/>
        <rFont val="宋体"/>
        <charset val="134"/>
      </rPr>
      <t>党群工作部</t>
    </r>
  </si>
  <si>
    <r>
      <rPr>
        <b/>
        <sz val="9"/>
        <rFont val="宋体"/>
        <charset val="134"/>
      </rPr>
      <t>成本费用合计</t>
    </r>
  </si>
  <si>
    <t>其他</t>
  </si>
  <si>
    <t>税金及附加</t>
  </si>
  <si>
    <r>
      <rPr>
        <sz val="9"/>
        <rFont val="宋体"/>
        <charset val="134"/>
      </rPr>
      <t>企业所得税</t>
    </r>
  </si>
  <si>
    <t>合计</t>
  </si>
  <si>
    <r>
      <rPr>
        <b/>
        <sz val="9"/>
        <rFont val="宋体"/>
        <charset val="134"/>
      </rPr>
      <t>净利润</t>
    </r>
  </si>
  <si>
    <t>一、招聘条件：
1、具有良好的政治素质和道德修养，遵纪守法，无不良记录，品学兼优，身体健康；
2、近三年（特别优秀者可适当放宽）在国内外获得博士学位或2023年毕业的博士研究生，或新由其它博士后科研流动站（工作站）出站的博士后研究人员；
3、具备地球物理学、岩土工程、地质工程或者计算机、软件（人工智能方向）相关专业背景，具有课题研发项目经验者优先；
4、具备独立从事科研工作的能力，并具有较强的科技论文和科研项目的撰写能力；
5、具有较强的科研创新能力和学术发展潜力，能够尽职尽责完成博士后研究工作；
6.、具备全脱产在本站从事博士后研究的条件。
二、岗位职责：
1、负责公司各类科技项目、信息化项目的开发与拓展，包括政策解读、材料组织、项目申报、项目跟进、后续验收等工作；
2、根据项目的进展阶段，制作相关的沟通文件，包括可行性报告、商业计划书、路演文件、汇报文件等；
3、负责博士后专家工作站的日常工作及推进；
4、负责分析与公司有关的市场发展热点与行业技术发展趋势，提出公司发展方向及研发课题方向等。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</si>
</sst>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8" formatCode="0.00_);[Red]\(0.00\)"/>
    <numFmt numFmtId="179" formatCode="yyyy\.m\.d"/>
    <numFmt numFmtId="180" formatCode="0.00_ "/>
  </numFmts>
  <fonts count="21" x14ac:knownFonts="1">
    <font>
      <sz val="11"/>
      <color theme="1"/>
      <name val="宋体"/>
      <charset val="134"/>
      <scheme val="minor"/>
    </font>
    <font>
      <b/>
      <sz val="9"/>
      <name val="Arial Narrow"/>
      <family val="2"/>
    </font>
    <font>
      <sz val="9"/>
      <name val="Arial Narrow"/>
      <family val="2"/>
    </font>
    <font>
      <b/>
      <sz val="9"/>
      <name val="宋体"/>
      <charset val="134"/>
    </font>
    <font>
      <sz val="9"/>
      <name val="宋体"/>
      <charset val="134"/>
    </font>
    <font>
      <sz val="9"/>
      <color rgb="FFC00000"/>
      <name val="Arial Narrow"/>
      <family val="2"/>
    </font>
    <font>
      <sz val="10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b/>
      <sz val="18"/>
      <name val="微软雅黑"/>
      <charset val="134"/>
    </font>
    <font>
      <sz val="18"/>
      <name val="宋体"/>
      <charset val="134"/>
      <scheme val="minor"/>
    </font>
    <font>
      <b/>
      <sz val="11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0"/>
      <color rgb="FF0070C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MS Sans Serif"/>
      <family val="2"/>
    </font>
    <font>
      <sz val="9"/>
      <name val="宋体"/>
      <family val="3"/>
      <charset val="134"/>
      <scheme val="minor"/>
    </font>
    <font>
      <sz val="9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</borders>
  <cellStyleXfs count="29">
    <xf numFmtId="0" fontId="0" fillId="0" borderId="0"/>
    <xf numFmtId="43" fontId="1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/>
    <xf numFmtId="0" fontId="16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>
      <alignment vertical="center"/>
    </xf>
    <xf numFmtId="0" fontId="18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1" fillId="0" borderId="0" xfId="7" applyFont="1" applyAlignment="1">
      <alignment vertical="center"/>
    </xf>
    <xf numFmtId="0" fontId="1" fillId="0" borderId="0" xfId="7" applyFont="1" applyAlignment="1">
      <alignment horizontal="center" vertical="center" wrapText="1"/>
    </xf>
    <xf numFmtId="0" fontId="2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43" fontId="2" fillId="0" borderId="0" xfId="23" applyFont="1" applyAlignment="1">
      <alignment vertical="center"/>
    </xf>
    <xf numFmtId="9" fontId="2" fillId="0" borderId="0" xfId="3" applyFont="1" applyAlignment="1">
      <alignment vertical="center"/>
    </xf>
    <xf numFmtId="43" fontId="2" fillId="0" borderId="0" xfId="1" applyFont="1" applyAlignment="1">
      <alignment vertical="center"/>
    </xf>
    <xf numFmtId="0" fontId="1" fillId="0" borderId="0" xfId="7" applyFont="1" applyAlignment="1">
      <alignment horizontal="center" vertical="center"/>
    </xf>
    <xf numFmtId="43" fontId="1" fillId="0" borderId="0" xfId="23" applyFont="1" applyBorder="1" applyAlignment="1">
      <alignment horizontal="center" vertical="center"/>
    </xf>
    <xf numFmtId="43" fontId="1" fillId="2" borderId="2" xfId="23" applyFont="1" applyFill="1" applyBorder="1" applyAlignment="1">
      <alignment horizontal="center" vertical="center" wrapText="1"/>
    </xf>
    <xf numFmtId="43" fontId="1" fillId="2" borderId="4" xfId="23" applyFont="1" applyFill="1" applyBorder="1" applyAlignment="1">
      <alignment horizontal="center" vertical="center" wrapText="1"/>
    </xf>
    <xf numFmtId="43" fontId="3" fillId="2" borderId="2" xfId="23" applyFont="1" applyFill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2" xfId="7" applyFont="1" applyBorder="1" applyAlignment="1">
      <alignment horizontal="center" vertical="center"/>
    </xf>
    <xf numFmtId="43" fontId="2" fillId="0" borderId="2" xfId="23" applyFont="1" applyBorder="1" applyAlignment="1">
      <alignment vertical="center"/>
    </xf>
    <xf numFmtId="43" fontId="2" fillId="3" borderId="2" xfId="23" applyFont="1" applyFill="1" applyBorder="1" applyAlignment="1">
      <alignment horizontal="center" vertical="center"/>
    </xf>
    <xf numFmtId="0" fontId="2" fillId="0" borderId="2" xfId="2" applyFont="1" applyBorder="1" applyAlignment="1">
      <alignment vertical="center"/>
    </xf>
    <xf numFmtId="43" fontId="2" fillId="0" borderId="2" xfId="23" applyFont="1" applyBorder="1" applyAlignment="1">
      <alignment horizontal="center" vertical="center" wrapText="1"/>
    </xf>
    <xf numFmtId="43" fontId="2" fillId="0" borderId="2" xfId="23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2" fillId="0" borderId="2" xfId="7" applyFont="1" applyBorder="1" applyAlignment="1">
      <alignment horizontal="left" vertical="center"/>
    </xf>
    <xf numFmtId="43" fontId="2" fillId="0" borderId="2" xfId="23" applyFont="1" applyBorder="1" applyAlignment="1">
      <alignment horizontal="right" vertical="center"/>
    </xf>
    <xf numFmtId="0" fontId="2" fillId="0" borderId="2" xfId="7" applyFont="1" applyBorder="1" applyAlignment="1">
      <alignment vertical="center"/>
    </xf>
    <xf numFmtId="43" fontId="2" fillId="0" borderId="2" xfId="23" applyFont="1" applyFill="1" applyBorder="1" applyAlignment="1">
      <alignment horizontal="left" vertical="center"/>
    </xf>
    <xf numFmtId="0" fontId="4" fillId="0" borderId="2" xfId="7" applyFont="1" applyBorder="1" applyAlignment="1">
      <alignment horizontal="left" vertical="center" wrapText="1"/>
    </xf>
    <xf numFmtId="0" fontId="1" fillId="3" borderId="2" xfId="7" applyFont="1" applyFill="1" applyBorder="1" applyAlignment="1">
      <alignment horizontal="center" vertical="center"/>
    </xf>
    <xf numFmtId="43" fontId="1" fillId="3" borderId="2" xfId="23" applyFont="1" applyFill="1" applyBorder="1" applyAlignment="1">
      <alignment vertical="center"/>
    </xf>
    <xf numFmtId="0" fontId="4" fillId="0" borderId="2" xfId="7" applyFont="1" applyBorder="1" applyAlignment="1">
      <alignment horizontal="left" vertical="center"/>
    </xf>
    <xf numFmtId="43" fontId="2" fillId="3" borderId="2" xfId="23" applyFont="1" applyFill="1" applyBorder="1" applyAlignment="1">
      <alignment vertical="center"/>
    </xf>
    <xf numFmtId="43" fontId="5" fillId="0" borderId="2" xfId="23" applyFont="1" applyBorder="1" applyAlignment="1">
      <alignment vertical="center"/>
    </xf>
    <xf numFmtId="43" fontId="1" fillId="2" borderId="6" xfId="23" applyFont="1" applyFill="1" applyBorder="1" applyAlignment="1">
      <alignment horizontal="center" vertical="center"/>
    </xf>
    <xf numFmtId="0" fontId="1" fillId="0" borderId="7" xfId="7" applyFont="1" applyBorder="1" applyAlignment="1">
      <alignment horizontal="center" vertical="center"/>
    </xf>
    <xf numFmtId="43" fontId="1" fillId="0" borderId="0" xfId="23" applyFont="1" applyBorder="1" applyAlignment="1">
      <alignment vertical="center"/>
    </xf>
    <xf numFmtId="10" fontId="1" fillId="2" borderId="2" xfId="3" applyNumberFormat="1" applyFont="1" applyFill="1" applyBorder="1" applyAlignment="1">
      <alignment horizontal="center" vertical="center" wrapText="1"/>
    </xf>
    <xf numFmtId="0" fontId="1" fillId="0" borderId="2" xfId="7" applyFont="1" applyBorder="1" applyAlignment="1">
      <alignment horizontal="center" vertical="center" wrapText="1"/>
    </xf>
    <xf numFmtId="43" fontId="1" fillId="0" borderId="2" xfId="23" applyFont="1" applyBorder="1" applyAlignment="1">
      <alignment horizontal="center" vertical="center" wrapText="1"/>
    </xf>
    <xf numFmtId="10" fontId="2" fillId="0" borderId="2" xfId="7" applyNumberFormat="1" applyFont="1" applyBorder="1" applyAlignment="1">
      <alignment vertical="center"/>
    </xf>
    <xf numFmtId="43" fontId="2" fillId="0" borderId="1" xfId="23" applyFont="1" applyBorder="1" applyAlignment="1">
      <alignment vertical="center"/>
    </xf>
    <xf numFmtId="43" fontId="2" fillId="0" borderId="8" xfId="23" applyFont="1" applyBorder="1" applyAlignment="1">
      <alignment horizontal="center" vertical="center"/>
    </xf>
    <xf numFmtId="43" fontId="2" fillId="0" borderId="6" xfId="23" applyFont="1" applyBorder="1" applyAlignment="1">
      <alignment vertical="center"/>
    </xf>
    <xf numFmtId="43" fontId="1" fillId="2" borderId="2" xfId="23" applyFont="1" applyFill="1" applyBorder="1" applyAlignment="1">
      <alignment vertical="center"/>
    </xf>
    <xf numFmtId="9" fontId="1" fillId="0" borderId="0" xfId="3" applyFont="1" applyBorder="1" applyAlignment="1">
      <alignment vertical="center"/>
    </xf>
    <xf numFmtId="43" fontId="1" fillId="0" borderId="0" xfId="1" applyFont="1" applyBorder="1" applyAlignment="1">
      <alignment vertical="center"/>
    </xf>
    <xf numFmtId="9" fontId="1" fillId="0" borderId="2" xfId="3" applyFont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2" fillId="0" borderId="0" xfId="7" applyNumberFormat="1" applyFont="1" applyAlignment="1">
      <alignment vertical="center"/>
    </xf>
    <xf numFmtId="9" fontId="2" fillId="0" borderId="0" xfId="3" applyFont="1" applyFill="1" applyAlignment="1">
      <alignment vertical="center"/>
    </xf>
    <xf numFmtId="43" fontId="2" fillId="0" borderId="0" xfId="3" applyNumberFormat="1" applyFont="1" applyAlignment="1">
      <alignment vertical="center"/>
    </xf>
    <xf numFmtId="0" fontId="6" fillId="0" borderId="0" xfId="0" applyFont="1"/>
    <xf numFmtId="0" fontId="0" fillId="4" borderId="0" xfId="0" applyFill="1"/>
    <xf numFmtId="0" fontId="7" fillId="0" borderId="0" xfId="0" applyFont="1"/>
    <xf numFmtId="49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 wrapText="1"/>
    </xf>
    <xf numFmtId="49" fontId="12" fillId="4" borderId="2" xfId="0" applyNumberFormat="1" applyFont="1" applyFill="1" applyBorder="1" applyAlignment="1">
      <alignment horizontal="center" vertical="center" wrapText="1"/>
    </xf>
    <xf numFmtId="180" fontId="12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left" vertical="center" wrapText="1"/>
    </xf>
    <xf numFmtId="0" fontId="6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80" fontId="12" fillId="4" borderId="2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2" fillId="0" borderId="2" xfId="0" quotePrefix="1" applyFont="1" applyBorder="1" applyAlignment="1">
      <alignment vertical="center"/>
    </xf>
    <xf numFmtId="49" fontId="8" fillId="0" borderId="9" xfId="0" applyNumberFormat="1" applyFont="1" applyBorder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1" fillId="0" borderId="0" xfId="7" applyFont="1" applyAlignment="1">
      <alignment horizontal="center" vertical="center"/>
    </xf>
    <xf numFmtId="43" fontId="1" fillId="2" borderId="3" xfId="23" applyFont="1" applyFill="1" applyBorder="1" applyAlignment="1">
      <alignment horizontal="center" vertical="center" wrapText="1"/>
    </xf>
    <xf numFmtId="43" fontId="1" fillId="2" borderId="5" xfId="23" applyFont="1" applyFill="1" applyBorder="1" applyAlignment="1">
      <alignment horizontal="center" vertical="center" wrapText="1"/>
    </xf>
    <xf numFmtId="43" fontId="1" fillId="2" borderId="6" xfId="23" applyFont="1" applyFill="1" applyBorder="1" applyAlignment="1">
      <alignment horizontal="center" vertical="center" wrapText="1"/>
    </xf>
    <xf numFmtId="43" fontId="3" fillId="2" borderId="3" xfId="23" applyFont="1" applyFill="1" applyBorder="1" applyAlignment="1">
      <alignment horizontal="center" vertical="center" wrapText="1"/>
    </xf>
    <xf numFmtId="0" fontId="1" fillId="3" borderId="3" xfId="0" quotePrefix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78" fontId="1" fillId="3" borderId="3" xfId="20" applyNumberFormat="1" applyFont="1" applyFill="1" applyBorder="1" applyAlignment="1">
      <alignment horizontal="center" vertical="center"/>
    </xf>
    <xf numFmtId="178" fontId="1" fillId="3" borderId="5" xfId="20" applyNumberFormat="1" applyFont="1" applyFill="1" applyBorder="1" applyAlignment="1">
      <alignment horizontal="center" vertical="center"/>
    </xf>
    <xf numFmtId="178" fontId="1" fillId="3" borderId="6" xfId="20" applyNumberFormat="1" applyFont="1" applyFill="1" applyBorder="1" applyAlignment="1">
      <alignment horizontal="center" vertical="center"/>
    </xf>
    <xf numFmtId="43" fontId="1" fillId="2" borderId="3" xfId="23" applyFont="1" applyFill="1" applyBorder="1" applyAlignment="1">
      <alignment horizontal="center" vertical="center"/>
    </xf>
    <xf numFmtId="43" fontId="1" fillId="2" borderId="5" xfId="23" applyFont="1" applyFill="1" applyBorder="1" applyAlignment="1">
      <alignment horizontal="center" vertical="center"/>
    </xf>
    <xf numFmtId="43" fontId="1" fillId="2" borderId="6" xfId="23" applyFont="1" applyFill="1" applyBorder="1" applyAlignment="1">
      <alignment horizontal="center" vertical="center"/>
    </xf>
    <xf numFmtId="43" fontId="1" fillId="2" borderId="1" xfId="23" applyFont="1" applyFill="1" applyBorder="1" applyAlignment="1">
      <alignment horizontal="center" vertical="center" wrapText="1"/>
    </xf>
    <xf numFmtId="43" fontId="1" fillId="2" borderId="4" xfId="23" applyFont="1" applyFill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 wrapText="1"/>
    </xf>
    <xf numFmtId="0" fontId="4" fillId="0" borderId="1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 vertical="center"/>
    </xf>
    <xf numFmtId="0" fontId="2" fillId="0" borderId="2" xfId="7" applyFont="1" applyBorder="1" applyAlignment="1">
      <alignment horizontal="left" vertical="center" wrapText="1"/>
    </xf>
    <xf numFmtId="0" fontId="2" fillId="0" borderId="2" xfId="7" applyFont="1" applyBorder="1" applyAlignment="1">
      <alignment horizontal="left" vertical="center"/>
    </xf>
    <xf numFmtId="43" fontId="2" fillId="0" borderId="1" xfId="23" applyFont="1" applyBorder="1" applyAlignment="1">
      <alignment horizontal="center" vertical="center"/>
    </xf>
    <xf numFmtId="43" fontId="2" fillId="0" borderId="4" xfId="23" applyFont="1" applyBorder="1" applyAlignment="1">
      <alignment horizontal="center" vertical="center"/>
    </xf>
    <xf numFmtId="43" fontId="2" fillId="0" borderId="2" xfId="23" applyFont="1" applyBorder="1" applyAlignment="1">
      <alignment horizontal="center" vertical="center"/>
    </xf>
    <xf numFmtId="0" fontId="20" fillId="4" borderId="2" xfId="2" applyFont="1" applyFill="1" applyBorder="1" applyAlignment="1">
      <alignment horizontal="left" vertical="center" wrapText="1"/>
    </xf>
  </cellXfs>
  <cellStyles count="29">
    <cellStyle name="百分比 2" xfId="3" xr:uid="{00000000-0005-0000-0000-000031000000}"/>
    <cellStyle name="百分比 2 2" xfId="4" xr:uid="{00000000-0005-0000-0000-000032000000}"/>
    <cellStyle name="百分比 3" xfId="5" xr:uid="{00000000-0005-0000-0000-000033000000}"/>
    <cellStyle name="百分比 4" xfId="6" xr:uid="{00000000-0005-0000-0000-000034000000}"/>
    <cellStyle name="常规" xfId="0" builtinId="0"/>
    <cellStyle name="常规 2" xfId="7" xr:uid="{00000000-0005-0000-0000-000035000000}"/>
    <cellStyle name="常规 2 2" xfId="8" xr:uid="{00000000-0005-0000-0000-000036000000}"/>
    <cellStyle name="常规 3" xfId="9" xr:uid="{00000000-0005-0000-0000-000037000000}"/>
    <cellStyle name="常规 3 2" xfId="10" xr:uid="{00000000-0005-0000-0000-000038000000}"/>
    <cellStyle name="常规 3 2 2" xfId="11" xr:uid="{00000000-0005-0000-0000-000039000000}"/>
    <cellStyle name="常规 4" xfId="12" xr:uid="{00000000-0005-0000-0000-00003A000000}"/>
    <cellStyle name="常规 4 2" xfId="13" xr:uid="{00000000-0005-0000-0000-00003B000000}"/>
    <cellStyle name="常规 4 3" xfId="14" xr:uid="{00000000-0005-0000-0000-00003C000000}"/>
    <cellStyle name="常规 5" xfId="15" xr:uid="{00000000-0005-0000-0000-00003D000000}"/>
    <cellStyle name="常规 6" xfId="16" xr:uid="{00000000-0005-0000-0000-00003E000000}"/>
    <cellStyle name="常规 6 2" xfId="17" xr:uid="{00000000-0005-0000-0000-00003F000000}"/>
    <cellStyle name="常规 6 2 2" xfId="18" xr:uid="{00000000-0005-0000-0000-000040000000}"/>
    <cellStyle name="常规 6 3" xfId="19" xr:uid="{00000000-0005-0000-0000-000041000000}"/>
    <cellStyle name="常规 7" xfId="20" xr:uid="{00000000-0005-0000-0000-000042000000}"/>
    <cellStyle name="常规 8" xfId="21" xr:uid="{00000000-0005-0000-0000-000043000000}"/>
    <cellStyle name="常规 9" xfId="22" xr:uid="{00000000-0005-0000-0000-000044000000}"/>
    <cellStyle name="超链接" xfId="2" builtinId="8"/>
    <cellStyle name="千位分隔" xfId="1" builtinId="3"/>
    <cellStyle name="千位分隔 2" xfId="23" xr:uid="{00000000-0005-0000-0000-000045000000}"/>
    <cellStyle name="千位分隔 2 2" xfId="24" xr:uid="{00000000-0005-0000-0000-000046000000}"/>
    <cellStyle name="千位分隔 3" xfId="25" xr:uid="{00000000-0005-0000-0000-000047000000}"/>
    <cellStyle name="千位分隔 3 2" xfId="26" xr:uid="{00000000-0005-0000-0000-000048000000}"/>
    <cellStyle name="千位分隔 4" xfId="27" xr:uid="{00000000-0005-0000-0000-000049000000}"/>
    <cellStyle name="千位分隔 4 4" xfId="28" xr:uid="{00000000-0005-0000-0000-00004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3322;&#22825;&#26816;&#27979;\2017&#24180;\2017&#24180;&#22825;&#32844;&#23457;&#35745;&#25253;&#21578;&#21450;&#36807;&#31243;&#36164;&#26009;\2017&#24180;&#23457;&#35745;&#25253;&#21578;\2017&#24180;&#23457;&#35745;&#36164;&#20135;&#31867;&#24213;&#31295;\(6113)&#24212;&#25910;&#36134;&#2745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底稿目录"/>
      <sheetName val="{隐藏公式页}"/>
      <sheetName val="审计程序"/>
      <sheetName val="审定表"/>
      <sheetName val="明细表"/>
      <sheetName val="披露表(上市)"/>
      <sheetName val="披露表(国资)"/>
      <sheetName val="函证结果汇总表"/>
      <sheetName val="函证结果汇总表(2)"/>
      <sheetName val="替代结果汇总表"/>
      <sheetName val="云南建工集团有限公司呈贡至澄江高速公路第四工区项目-替 (2"/>
      <sheetName val="元阳至绿春二级公路建设指挥部-替代测试表"/>
      <sheetName val="红河州元蔓高速公路投资开发有限公司-替代测试表"/>
      <sheetName val="重庆德飞工程质量检测有限责任公司-替代测试表"/>
      <sheetName val="兰坪县六兰公路啦井隧道段投资有限公司-替代测试表"/>
      <sheetName val="元谋县重点公路项目建设指挥部-替代测试表"/>
      <sheetName val="云南小磨高速公路改扩建工程建设指挥部-替代测试表"/>
      <sheetName val="云南华丽高速公路建设指挥部-替代测试表"/>
      <sheetName val="贵州建工集团第四建筑工程有限责任公司-替代测试表"/>
      <sheetName val="昆明铁路局昆明枢纽铁路建设指挥部-替代测试表"/>
      <sheetName val="丽宁公路改扩建工程建设指挥部-替代测试表"/>
      <sheetName val="中铁隧道股份有限公司-替代测试表"/>
      <sheetName val="个旧市冷清公路延长线鸡个段提升改造工程建设指挥部-替代 (2"/>
      <sheetName val="云南建工集团有限公司呈贡至澄江高速公路第四工区项目-替代测试表"/>
      <sheetName val="中铁隧道股份有限公司-替代测试表 (2)"/>
      <sheetName val="丽宁公路改扩建工程建设指挥部-替代测试表 (2)"/>
      <sheetName val="昆明铁路局昆明枢纽铁路建设指挥部-替代测试表 (2)"/>
      <sheetName val="昭通市交通建设工程质量安会监督局-替代测试表 (2)"/>
      <sheetName val="贵州建工集团第四建筑工程有限责任公司-替代测试表 (2)"/>
      <sheetName val="云南华丽高速公路建设指挥部-替代测试表 (2)"/>
      <sheetName val="云南小磨高速公路改扩建工程建设指挥部-替代测试表 (2)"/>
      <sheetName val="元谋县重点公路项目建设指挥部-替代测试表 (2)"/>
      <sheetName val="兰坪县六兰公路啦井隧道段投资有限公司-替代测试表 (2)"/>
      <sheetName val="重庆德飞工程质量检测有限责任公司-替代测试表 (2)"/>
      <sheetName val="红河州元蔓高速公路投资开发有限公司-替代测试表 (2)"/>
      <sheetName val="元阳至绿春二级公路建设指挥部-替代测试表 (2)"/>
      <sheetName val="个旧市冷清公路延长线鸡个段提升改造工程建设指挥部-替代测试表"/>
      <sheetName val="昭通市交通建设工程质量安会监督局-替代测试表"/>
      <sheetName val="Sheet1"/>
      <sheetName val="披露表(标准)"/>
      <sheetName val="坏账准备计算表"/>
      <sheetName val="坏账准备政策查验表"/>
      <sheetName val="长期挂账款项检查表"/>
      <sheetName val="列示关联方"/>
      <sheetName val="汇率折算检查表"/>
      <sheetName val="截止测试表"/>
      <sheetName val="中介机构对发行人客户现场核查工作底稿（IPO适用）"/>
      <sheetName val="附件 客户调查表（IPO适用）"/>
      <sheetName val="往来账款询证函"/>
      <sheetName val="余额调节及检查表"/>
      <sheetName val="替代测试表(一)"/>
      <sheetName val="拟发函单位联系方式一览表"/>
      <sheetName val="细节测试审计抽样"/>
      <sheetName val="细节测试(续)-检查表"/>
      <sheetName val="抽凭-检查表"/>
      <sheetName val="十分法细节测试抽样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topLeftCell="A2" zoomScale="90" zoomScaleNormal="90" workbookViewId="0">
      <selection activeCell="L7" sqref="L7"/>
    </sheetView>
  </sheetViews>
  <sheetFormatPr defaultColWidth="9" defaultRowHeight="21" customHeight="1" x14ac:dyDescent="0.15"/>
  <cols>
    <col min="1" max="1" width="5.875" customWidth="1"/>
    <col min="2" max="2" width="14.625" customWidth="1"/>
    <col min="3" max="3" width="18.5" customWidth="1"/>
    <col min="4" max="5" width="12.625" customWidth="1"/>
    <col min="6" max="6" width="71.75" customWidth="1"/>
    <col min="7" max="7" width="16.75" customWidth="1"/>
    <col min="8" max="16381" width="8.875"/>
  </cols>
  <sheetData>
    <row r="1" spans="1:8" ht="45.75" customHeight="1" x14ac:dyDescent="0.25">
      <c r="A1" s="72" t="s">
        <v>0</v>
      </c>
      <c r="B1" s="73"/>
      <c r="C1" s="73"/>
      <c r="D1" s="73"/>
      <c r="E1" s="73"/>
      <c r="F1" s="74"/>
      <c r="G1" s="74"/>
    </row>
    <row r="2" spans="1:8" s="51" customFormat="1" ht="32.450000000000003" customHeight="1" x14ac:dyDescent="0.15">
      <c r="A2" s="54" t="s">
        <v>1</v>
      </c>
      <c r="B2" s="54" t="s">
        <v>2</v>
      </c>
      <c r="C2" s="54" t="s">
        <v>3</v>
      </c>
      <c r="D2" s="54" t="s">
        <v>4</v>
      </c>
      <c r="E2" s="54" t="s">
        <v>5</v>
      </c>
      <c r="F2" s="54" t="s">
        <v>6</v>
      </c>
      <c r="G2" s="54" t="s">
        <v>7</v>
      </c>
    </row>
    <row r="3" spans="1:8" ht="102" customHeight="1" x14ac:dyDescent="0.15">
      <c r="A3" s="55">
        <v>1</v>
      </c>
      <c r="B3" s="56" t="s">
        <v>8</v>
      </c>
      <c r="C3" s="56" t="s">
        <v>9</v>
      </c>
      <c r="D3" s="57">
        <v>2</v>
      </c>
      <c r="E3" s="57" t="s">
        <v>10</v>
      </c>
      <c r="F3" s="58" t="s">
        <v>11</v>
      </c>
      <c r="G3" s="55" t="s">
        <v>12</v>
      </c>
    </row>
    <row r="4" spans="1:8" ht="52.5" customHeight="1" x14ac:dyDescent="0.15">
      <c r="A4" s="55">
        <v>2</v>
      </c>
      <c r="B4" s="56" t="s">
        <v>13</v>
      </c>
      <c r="C4" s="56" t="s">
        <v>14</v>
      </c>
      <c r="D4" s="57">
        <v>5</v>
      </c>
      <c r="E4" s="57" t="s">
        <v>15</v>
      </c>
      <c r="F4" s="59" t="s">
        <v>16</v>
      </c>
      <c r="G4" s="55" t="s">
        <v>17</v>
      </c>
    </row>
    <row r="5" spans="1:8" s="52" customFormat="1" ht="63.95" customHeight="1" x14ac:dyDescent="0.15">
      <c r="A5" s="55">
        <v>3</v>
      </c>
      <c r="B5" s="75" t="s">
        <v>18</v>
      </c>
      <c r="C5" s="61" t="s">
        <v>19</v>
      </c>
      <c r="D5" s="62">
        <v>3</v>
      </c>
      <c r="E5" s="62" t="s">
        <v>10</v>
      </c>
      <c r="F5" s="63" t="s">
        <v>20</v>
      </c>
      <c r="G5" s="62" t="s">
        <v>21</v>
      </c>
      <c r="H5" s="64"/>
    </row>
    <row r="6" spans="1:8" s="53" customFormat="1" ht="86.25" customHeight="1" x14ac:dyDescent="0.15">
      <c r="A6" s="55">
        <v>4</v>
      </c>
      <c r="B6" s="75"/>
      <c r="C6" s="61" t="s">
        <v>22</v>
      </c>
      <c r="D6" s="62">
        <v>1</v>
      </c>
      <c r="E6" s="62" t="s">
        <v>23</v>
      </c>
      <c r="F6" s="63" t="s">
        <v>24</v>
      </c>
      <c r="G6" s="62" t="s">
        <v>21</v>
      </c>
      <c r="H6" s="65"/>
    </row>
    <row r="7" spans="1:8" s="53" customFormat="1" ht="231" customHeight="1" x14ac:dyDescent="0.15">
      <c r="A7" s="55">
        <v>5</v>
      </c>
      <c r="B7" s="75"/>
      <c r="C7" s="66" t="s">
        <v>25</v>
      </c>
      <c r="D7" s="60" t="s">
        <v>26</v>
      </c>
      <c r="E7" s="60" t="s">
        <v>27</v>
      </c>
      <c r="F7" s="102" t="s">
        <v>113</v>
      </c>
      <c r="G7" s="62" t="s">
        <v>21</v>
      </c>
      <c r="H7" s="65"/>
    </row>
    <row r="8" spans="1:8" ht="21" customHeight="1" x14ac:dyDescent="0.15">
      <c r="A8" s="67"/>
      <c r="B8" s="67"/>
      <c r="C8" s="67"/>
      <c r="D8" s="68"/>
      <c r="E8" s="68"/>
      <c r="F8" s="69"/>
      <c r="G8" s="70"/>
    </row>
  </sheetData>
  <autoFilter ref="A2:G7" xr:uid="{00000000-0009-0000-0000-000000000000}"/>
  <mergeCells count="2">
    <mergeCell ref="A1:G1"/>
    <mergeCell ref="B5:B7"/>
  </mergeCells>
  <phoneticPr fontId="1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4"/>
  <sheetViews>
    <sheetView view="pageBreakPreview" zoomScale="90" zoomScaleNormal="112" workbookViewId="0">
      <pane xSplit="6" ySplit="4" topLeftCell="G5" activePane="bottomRight" state="frozen"/>
      <selection pane="topRight"/>
      <selection pane="bottomLeft"/>
      <selection pane="bottomRight" activeCell="I14" sqref="I14"/>
    </sheetView>
  </sheetViews>
  <sheetFormatPr defaultColWidth="8.875" defaultRowHeight="13.5" x14ac:dyDescent="0.15"/>
  <cols>
    <col min="1" max="1" width="7.375" style="3" customWidth="1"/>
    <col min="2" max="2" width="8" style="3" hidden="1" customWidth="1"/>
    <col min="3" max="3" width="6" style="3" customWidth="1"/>
    <col min="4" max="4" width="14.75" style="3" customWidth="1"/>
    <col min="5" max="5" width="15.625" style="3" customWidth="1"/>
    <col min="6" max="6" width="6.625" style="4" hidden="1" customWidth="1"/>
    <col min="7" max="7" width="8.125" style="5" customWidth="1"/>
    <col min="8" max="8" width="9.875" style="5" customWidth="1"/>
    <col min="9" max="12" width="8" style="5" customWidth="1"/>
    <col min="13" max="13" width="9.875" style="5" customWidth="1"/>
    <col min="14" max="17" width="7.875" style="5" customWidth="1"/>
    <col min="18" max="18" width="8.125" style="5" customWidth="1"/>
    <col min="19" max="22" width="8" style="5" customWidth="1"/>
    <col min="23" max="23" width="8.25" style="5" customWidth="1"/>
    <col min="24" max="27" width="8" style="5" customWidth="1"/>
    <col min="28" max="29" width="9.25" style="5" customWidth="1"/>
    <col min="30" max="30" width="8.5" style="3" hidden="1" customWidth="1"/>
    <col min="31" max="31" width="8.25" style="4" hidden="1" customWidth="1"/>
    <col min="32" max="32" width="9.625" style="5" hidden="1" customWidth="1"/>
    <col min="33" max="33" width="6.5" style="6" hidden="1" customWidth="1"/>
    <col min="34" max="34" width="8.875" style="3" hidden="1" customWidth="1"/>
    <col min="35" max="35" width="6.625" style="7" customWidth="1"/>
    <col min="36" max="16384" width="8.875" style="3"/>
  </cols>
  <sheetData>
    <row r="1" spans="1:36" ht="18" customHeight="1" x14ac:dyDescent="0.15">
      <c r="A1" s="76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</row>
    <row r="2" spans="1:36" s="1" customFormat="1" x14ac:dyDescent="0.15">
      <c r="A2" s="1" t="s">
        <v>29</v>
      </c>
      <c r="E2" s="8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34" t="s">
        <v>30</v>
      </c>
      <c r="AE2" s="8"/>
      <c r="AF2" s="35"/>
      <c r="AG2" s="44"/>
      <c r="AI2" s="45"/>
    </row>
    <row r="3" spans="1:36" s="2" customFormat="1" ht="29.45" customHeight="1" x14ac:dyDescent="0.15">
      <c r="A3" s="90" t="s">
        <v>31</v>
      </c>
      <c r="B3" s="10" t="s">
        <v>32</v>
      </c>
      <c r="C3" s="90" t="s">
        <v>33</v>
      </c>
      <c r="D3" s="90" t="s">
        <v>34</v>
      </c>
      <c r="E3" s="90" t="s">
        <v>35</v>
      </c>
      <c r="F3" s="10" t="s">
        <v>36</v>
      </c>
      <c r="G3" s="90" t="s">
        <v>37</v>
      </c>
      <c r="H3" s="77" t="s">
        <v>38</v>
      </c>
      <c r="I3" s="78"/>
      <c r="J3" s="78"/>
      <c r="K3" s="78"/>
      <c r="L3" s="79"/>
      <c r="M3" s="77" t="s">
        <v>39</v>
      </c>
      <c r="N3" s="78"/>
      <c r="O3" s="78"/>
      <c r="P3" s="78"/>
      <c r="Q3" s="79"/>
      <c r="R3" s="80" t="s">
        <v>40</v>
      </c>
      <c r="S3" s="78"/>
      <c r="T3" s="78"/>
      <c r="U3" s="78"/>
      <c r="V3" s="79"/>
      <c r="W3" s="77" t="s">
        <v>41</v>
      </c>
      <c r="X3" s="78"/>
      <c r="Y3" s="78"/>
      <c r="Z3" s="78"/>
      <c r="AA3" s="79"/>
      <c r="AB3" s="10" t="s">
        <v>42</v>
      </c>
      <c r="AC3" s="10" t="s">
        <v>43</v>
      </c>
      <c r="AD3" s="36" t="s">
        <v>44</v>
      </c>
      <c r="AE3" s="37" t="s">
        <v>45</v>
      </c>
      <c r="AF3" s="38" t="s">
        <v>46</v>
      </c>
      <c r="AG3" s="46" t="s">
        <v>47</v>
      </c>
      <c r="AH3" s="2" t="s">
        <v>48</v>
      </c>
      <c r="AI3" s="47" t="s">
        <v>49</v>
      </c>
    </row>
    <row r="4" spans="1:36" s="2" customFormat="1" ht="29.45" customHeight="1" x14ac:dyDescent="0.15">
      <c r="A4" s="91"/>
      <c r="B4" s="10"/>
      <c r="C4" s="91"/>
      <c r="D4" s="91"/>
      <c r="E4" s="91"/>
      <c r="F4" s="10"/>
      <c r="G4" s="91"/>
      <c r="H4" s="12" t="s">
        <v>50</v>
      </c>
      <c r="I4" s="12" t="s">
        <v>51</v>
      </c>
      <c r="J4" s="12" t="s">
        <v>52</v>
      </c>
      <c r="K4" s="12" t="s">
        <v>53</v>
      </c>
      <c r="L4" s="12" t="s">
        <v>54</v>
      </c>
      <c r="M4" s="12" t="s">
        <v>50</v>
      </c>
      <c r="N4" s="12" t="s">
        <v>51</v>
      </c>
      <c r="O4" s="12" t="s">
        <v>52</v>
      </c>
      <c r="P4" s="12" t="s">
        <v>53</v>
      </c>
      <c r="Q4" s="12" t="s">
        <v>54</v>
      </c>
      <c r="R4" s="12" t="s">
        <v>50</v>
      </c>
      <c r="S4" s="12" t="s">
        <v>51</v>
      </c>
      <c r="T4" s="12" t="s">
        <v>52</v>
      </c>
      <c r="U4" s="12" t="s">
        <v>53</v>
      </c>
      <c r="V4" s="12" t="s">
        <v>54</v>
      </c>
      <c r="W4" s="12" t="s">
        <v>50</v>
      </c>
      <c r="X4" s="12" t="s">
        <v>51</v>
      </c>
      <c r="Y4" s="12" t="s">
        <v>52</v>
      </c>
      <c r="Z4" s="12" t="s">
        <v>53</v>
      </c>
      <c r="AA4" s="12" t="s">
        <v>54</v>
      </c>
      <c r="AB4" s="10"/>
      <c r="AC4" s="10"/>
      <c r="AD4" s="36"/>
      <c r="AE4" s="37"/>
      <c r="AF4" s="38"/>
      <c r="AG4" s="46"/>
      <c r="AI4" s="47"/>
    </row>
    <row r="5" spans="1:36" s="2" customFormat="1" ht="16.149999999999999" customHeight="1" x14ac:dyDescent="0.15">
      <c r="A5" s="77" t="s">
        <v>55</v>
      </c>
      <c r="B5" s="78"/>
      <c r="C5" s="78"/>
      <c r="D5" s="78"/>
      <c r="E5" s="79"/>
      <c r="F5" s="10"/>
      <c r="G5" s="11"/>
      <c r="H5" s="10">
        <f>SUM(H6:H17)</f>
        <v>14618.86</v>
      </c>
      <c r="I5" s="10">
        <f t="shared" ref="I5:V5" si="0">SUM(I6:I17)</f>
        <v>3640.65</v>
      </c>
      <c r="J5" s="10">
        <f t="shared" si="0"/>
        <v>3759.25</v>
      </c>
      <c r="K5" s="10">
        <f t="shared" si="0"/>
        <v>3595.31</v>
      </c>
      <c r="L5" s="10">
        <f t="shared" si="0"/>
        <v>3623.65</v>
      </c>
      <c r="M5" s="10">
        <f t="shared" si="0"/>
        <v>14018.86</v>
      </c>
      <c r="N5" s="10">
        <f t="shared" si="0"/>
        <v>3469.33</v>
      </c>
      <c r="O5" s="10">
        <f t="shared" si="0"/>
        <v>3596.56</v>
      </c>
      <c r="P5" s="10">
        <f t="shared" si="0"/>
        <v>3462.32</v>
      </c>
      <c r="Q5" s="10">
        <f t="shared" si="0"/>
        <v>3490.65</v>
      </c>
      <c r="R5" s="10">
        <f t="shared" si="0"/>
        <v>13447</v>
      </c>
      <c r="S5" s="10">
        <f t="shared" si="0"/>
        <v>3226.15</v>
      </c>
      <c r="T5" s="10">
        <f t="shared" si="0"/>
        <v>3477.94</v>
      </c>
      <c r="U5" s="10">
        <f t="shared" si="0"/>
        <v>3156.47</v>
      </c>
      <c r="V5" s="10">
        <f t="shared" si="0"/>
        <v>3586.44</v>
      </c>
      <c r="W5" s="10">
        <f>SUM(W6:W27)</f>
        <v>10450.17</v>
      </c>
      <c r="X5" s="10">
        <f t="shared" ref="X5:AA5" si="1">SUM(X6:X27)</f>
        <v>2385.91</v>
      </c>
      <c r="Y5" s="10">
        <f t="shared" si="1"/>
        <v>3328.31</v>
      </c>
      <c r="Z5" s="10">
        <f t="shared" si="1"/>
        <v>2282.6799999999998</v>
      </c>
      <c r="AA5" s="10">
        <f t="shared" si="1"/>
        <v>2453.27</v>
      </c>
      <c r="AB5" s="10"/>
      <c r="AC5" s="10"/>
      <c r="AD5" s="36"/>
      <c r="AE5" s="37"/>
      <c r="AF5" s="38"/>
      <c r="AG5" s="46"/>
      <c r="AI5" s="47"/>
    </row>
    <row r="6" spans="1:36" ht="21" customHeight="1" x14ac:dyDescent="0.15">
      <c r="A6" s="92" t="s">
        <v>56</v>
      </c>
      <c r="B6" s="92" t="s">
        <v>57</v>
      </c>
      <c r="C6" s="92" t="s">
        <v>58</v>
      </c>
      <c r="D6" s="97" t="s">
        <v>59</v>
      </c>
      <c r="E6" s="15" t="s">
        <v>60</v>
      </c>
      <c r="F6" s="16"/>
      <c r="G6" s="17">
        <v>1000</v>
      </c>
      <c r="H6" s="18">
        <f>3000-180</f>
        <v>2820</v>
      </c>
      <c r="I6" s="18">
        <f>H6/4</f>
        <v>705</v>
      </c>
      <c r="J6" s="18">
        <f>I6</f>
        <v>705</v>
      </c>
      <c r="K6" s="18">
        <f>J6</f>
        <v>705</v>
      </c>
      <c r="L6" s="18">
        <f>H6-I6-J6-K6</f>
        <v>705</v>
      </c>
      <c r="M6" s="18">
        <f>3000-180</f>
        <v>2820</v>
      </c>
      <c r="N6" s="18">
        <v>705</v>
      </c>
      <c r="O6" s="18">
        <v>705</v>
      </c>
      <c r="P6" s="18">
        <v>705</v>
      </c>
      <c r="Q6" s="18">
        <v>705</v>
      </c>
      <c r="R6" s="21">
        <v>2500</v>
      </c>
      <c r="S6" s="21">
        <f>R6/4</f>
        <v>625</v>
      </c>
      <c r="T6" s="21">
        <v>625</v>
      </c>
      <c r="U6" s="21">
        <v>625</v>
      </c>
      <c r="V6" s="21">
        <v>625</v>
      </c>
      <c r="W6" s="31">
        <f>1460-180-21.59</f>
        <v>1258.4100000000001</v>
      </c>
      <c r="X6" s="31">
        <f>365.01</f>
        <v>365.01</v>
      </c>
      <c r="Y6" s="31">
        <f>365.01</f>
        <v>365.01</v>
      </c>
      <c r="Z6" s="31">
        <f>276.83</f>
        <v>276.83</v>
      </c>
      <c r="AA6" s="31">
        <f>W6-X6-Y6-Z6</f>
        <v>251.56</v>
      </c>
      <c r="AB6" s="17">
        <f t="shared" ref="AB6:AB17" si="2">H6-W6</f>
        <v>1561.59</v>
      </c>
      <c r="AC6" s="17">
        <f t="shared" ref="AC6:AC17" si="3">M6-W6</f>
        <v>1561.59</v>
      </c>
      <c r="AD6" s="39">
        <v>0.51329999999999998</v>
      </c>
      <c r="AE6" s="16" t="s">
        <v>61</v>
      </c>
      <c r="AF6" s="17">
        <v>1600</v>
      </c>
      <c r="AG6" s="17">
        <v>50</v>
      </c>
      <c r="AH6" s="48">
        <v>142.63999999999999</v>
      </c>
      <c r="AI6" s="7">
        <v>21.59</v>
      </c>
      <c r="AJ6" s="48"/>
    </row>
    <row r="7" spans="1:36" ht="21" customHeight="1" x14ac:dyDescent="0.15">
      <c r="A7" s="92"/>
      <c r="B7" s="92"/>
      <c r="C7" s="92"/>
      <c r="D7" s="97"/>
      <c r="E7" s="19" t="s">
        <v>62</v>
      </c>
      <c r="F7" s="16"/>
      <c r="G7" s="20" t="s">
        <v>63</v>
      </c>
      <c r="H7" s="21">
        <v>300</v>
      </c>
      <c r="I7" s="21">
        <f>H7/4</f>
        <v>75</v>
      </c>
      <c r="J7" s="21">
        <v>75</v>
      </c>
      <c r="K7" s="21">
        <v>75</v>
      </c>
      <c r="L7" s="21">
        <v>75</v>
      </c>
      <c r="M7" s="21">
        <v>300</v>
      </c>
      <c r="N7" s="21">
        <v>75</v>
      </c>
      <c r="O7" s="21">
        <v>75</v>
      </c>
      <c r="P7" s="21">
        <v>75</v>
      </c>
      <c r="Q7" s="21">
        <v>75</v>
      </c>
      <c r="R7" s="21">
        <v>250</v>
      </c>
      <c r="S7" s="21">
        <f>R7/4</f>
        <v>62.5</v>
      </c>
      <c r="T7" s="21">
        <v>62.5</v>
      </c>
      <c r="U7" s="21">
        <v>62.5</v>
      </c>
      <c r="V7" s="21">
        <v>62.5</v>
      </c>
      <c r="W7" s="17">
        <v>150</v>
      </c>
      <c r="X7" s="17">
        <f>W7/4</f>
        <v>37.5</v>
      </c>
      <c r="Y7" s="17">
        <v>37.5</v>
      </c>
      <c r="Z7" s="17">
        <v>37.5</v>
      </c>
      <c r="AA7" s="17">
        <v>37.5</v>
      </c>
      <c r="AB7" s="17">
        <f t="shared" si="2"/>
        <v>150</v>
      </c>
      <c r="AC7" s="17">
        <f t="shared" si="3"/>
        <v>150</v>
      </c>
      <c r="AD7" s="39">
        <v>0.5</v>
      </c>
      <c r="AE7" s="16"/>
      <c r="AF7" s="40"/>
      <c r="AG7" s="17"/>
      <c r="AH7" s="48">
        <v>14.26</v>
      </c>
      <c r="AJ7" s="48"/>
    </row>
    <row r="8" spans="1:36" ht="21" customHeight="1" x14ac:dyDescent="0.15">
      <c r="A8" s="92"/>
      <c r="B8" s="92"/>
      <c r="C8" s="92"/>
      <c r="D8" s="97"/>
      <c r="E8" s="15" t="s">
        <v>64</v>
      </c>
      <c r="F8" s="16"/>
      <c r="G8" s="17"/>
      <c r="H8" s="21">
        <v>63.12</v>
      </c>
      <c r="I8" s="21"/>
      <c r="J8" s="21">
        <f>H8/2</f>
        <v>31.56</v>
      </c>
      <c r="K8" s="21"/>
      <c r="L8" s="21">
        <v>31.56</v>
      </c>
      <c r="M8" s="21">
        <v>63.12</v>
      </c>
      <c r="N8" s="21"/>
      <c r="O8" s="21">
        <v>31.56</v>
      </c>
      <c r="P8" s="21"/>
      <c r="Q8" s="21">
        <v>31.56</v>
      </c>
      <c r="R8" s="21"/>
      <c r="S8" s="21"/>
      <c r="T8" s="21"/>
      <c r="U8" s="21"/>
      <c r="V8" s="21"/>
      <c r="W8" s="17">
        <v>103.12</v>
      </c>
      <c r="X8" s="17">
        <f>W8/4</f>
        <v>25.78</v>
      </c>
      <c r="Y8" s="17">
        <v>25.78</v>
      </c>
      <c r="Z8" s="17">
        <v>25.78</v>
      </c>
      <c r="AA8" s="17">
        <v>25.78</v>
      </c>
      <c r="AB8" s="17">
        <f t="shared" si="2"/>
        <v>-40</v>
      </c>
      <c r="AC8" s="17">
        <f t="shared" si="3"/>
        <v>-40</v>
      </c>
      <c r="AD8" s="39">
        <v>-0.63370000000000004</v>
      </c>
      <c r="AE8" s="16" t="s">
        <v>65</v>
      </c>
      <c r="AF8" s="17"/>
      <c r="AG8" s="49"/>
    </row>
    <row r="9" spans="1:36" ht="21" customHeight="1" x14ac:dyDescent="0.15">
      <c r="A9" s="92"/>
      <c r="B9" s="92"/>
      <c r="C9" s="92" t="s">
        <v>66</v>
      </c>
      <c r="D9" s="97" t="s">
        <v>67</v>
      </c>
      <c r="E9" s="15" t="s">
        <v>68</v>
      </c>
      <c r="F9" s="16"/>
      <c r="G9" s="17">
        <v>1000</v>
      </c>
      <c r="H9" s="18">
        <f>5500-302.22</f>
        <v>5197.78</v>
      </c>
      <c r="I9" s="18">
        <v>1375</v>
      </c>
      <c r="J9" s="18">
        <v>1392.86</v>
      </c>
      <c r="K9" s="18">
        <f>(H9-I9-J9)/2</f>
        <v>1214.96</v>
      </c>
      <c r="L9" s="18">
        <f>H9-I9-J9-K9</f>
        <v>1214.96</v>
      </c>
      <c r="M9" s="18">
        <f>5000-302.22</f>
        <v>4697.78</v>
      </c>
      <c r="N9" s="18">
        <v>1203.68</v>
      </c>
      <c r="O9" s="18">
        <v>1230.17</v>
      </c>
      <c r="P9" s="18">
        <f>(M9-N9-O9)/2</f>
        <v>1131.97</v>
      </c>
      <c r="Q9" s="18">
        <f>P9-0.01</f>
        <v>1131.96</v>
      </c>
      <c r="R9" s="21">
        <v>5000</v>
      </c>
      <c r="S9" s="21">
        <v>1203.68</v>
      </c>
      <c r="T9" s="21">
        <v>1230.17</v>
      </c>
      <c r="U9" s="21">
        <v>1268.07</v>
      </c>
      <c r="V9" s="21">
        <v>1298.08</v>
      </c>
      <c r="W9" s="31">
        <f>3075-302.22-36.27</f>
        <v>2736.51</v>
      </c>
      <c r="X9" s="31">
        <v>718.91</v>
      </c>
      <c r="Y9" s="31">
        <v>850.92</v>
      </c>
      <c r="Z9" s="31">
        <v>664.12</v>
      </c>
      <c r="AA9" s="31">
        <f>W9-X9-Y9-Z9</f>
        <v>502.56</v>
      </c>
      <c r="AB9" s="17">
        <f t="shared" si="2"/>
        <v>2461.27</v>
      </c>
      <c r="AC9" s="17">
        <f t="shared" si="3"/>
        <v>1961.27</v>
      </c>
      <c r="AD9" s="39">
        <v>0.44090000000000001</v>
      </c>
      <c r="AE9" s="16" t="s">
        <v>61</v>
      </c>
      <c r="AF9" s="99">
        <v>3500</v>
      </c>
      <c r="AG9" s="17">
        <v>50</v>
      </c>
      <c r="AH9" s="48">
        <v>237.74</v>
      </c>
      <c r="AI9" s="7">
        <v>36.270000000000003</v>
      </c>
    </row>
    <row r="10" spans="1:36" ht="21" customHeight="1" x14ac:dyDescent="0.15">
      <c r="A10" s="92"/>
      <c r="B10" s="92"/>
      <c r="C10" s="92"/>
      <c r="D10" s="97"/>
      <c r="E10" s="15" t="s">
        <v>69</v>
      </c>
      <c r="F10" s="16"/>
      <c r="G10" s="17">
        <v>1000</v>
      </c>
      <c r="H10" s="18">
        <f>1500-90</f>
        <v>1410</v>
      </c>
      <c r="I10" s="18">
        <v>323.89999999999998</v>
      </c>
      <c r="J10" s="18">
        <v>353.08</v>
      </c>
      <c r="K10" s="18">
        <f>(H10-I10-J10)/2</f>
        <v>366.51</v>
      </c>
      <c r="L10" s="18">
        <f>H10-I10-J10-K10</f>
        <v>366.51</v>
      </c>
      <c r="M10" s="18">
        <f>1500-90</f>
        <v>1410</v>
      </c>
      <c r="N10" s="18">
        <v>323.89999999999998</v>
      </c>
      <c r="O10" s="18">
        <v>353.08</v>
      </c>
      <c r="P10" s="18">
        <v>366.51</v>
      </c>
      <c r="Q10" s="18">
        <v>366.51</v>
      </c>
      <c r="R10" s="21">
        <v>1300</v>
      </c>
      <c r="S10" s="21">
        <v>280.72000000000003</v>
      </c>
      <c r="T10" s="21">
        <v>306.02</v>
      </c>
      <c r="U10" s="21">
        <v>356.65</v>
      </c>
      <c r="V10" s="21">
        <f>R10-S10-T10-U10</f>
        <v>356.61</v>
      </c>
      <c r="W10" s="31">
        <f>620-90-10.8</f>
        <v>519.20000000000005</v>
      </c>
      <c r="X10" s="31">
        <v>108.59</v>
      </c>
      <c r="Y10" s="31">
        <f>133.62+0.85</f>
        <v>134.47</v>
      </c>
      <c r="Z10" s="31">
        <f>(W10-X10-Y10)/2-0.01</f>
        <v>138.06</v>
      </c>
      <c r="AA10" s="31">
        <f>Z10+0.02</f>
        <v>138.08000000000001</v>
      </c>
      <c r="AB10" s="17">
        <f t="shared" si="2"/>
        <v>890.8</v>
      </c>
      <c r="AC10" s="17">
        <f t="shared" si="3"/>
        <v>890.8</v>
      </c>
      <c r="AD10" s="39">
        <v>0.5867</v>
      </c>
      <c r="AE10" s="16" t="s">
        <v>61</v>
      </c>
      <c r="AF10" s="100"/>
      <c r="AG10" s="17">
        <v>50</v>
      </c>
      <c r="AH10" s="48">
        <v>71.319999999999993</v>
      </c>
      <c r="AI10" s="7">
        <v>10.8</v>
      </c>
    </row>
    <row r="11" spans="1:36" ht="21" customHeight="1" x14ac:dyDescent="0.15">
      <c r="A11" s="92"/>
      <c r="B11" s="92"/>
      <c r="C11" s="95" t="s">
        <v>70</v>
      </c>
      <c r="D11" s="97" t="s">
        <v>71</v>
      </c>
      <c r="E11" s="15" t="s">
        <v>72</v>
      </c>
      <c r="F11" s="16"/>
      <c r="G11" s="17">
        <v>1000</v>
      </c>
      <c r="H11" s="21">
        <v>1500</v>
      </c>
      <c r="I11" s="21">
        <v>313</v>
      </c>
      <c r="J11" s="21">
        <v>313</v>
      </c>
      <c r="K11" s="21">
        <f>(H11-I11-J11)/2</f>
        <v>437</v>
      </c>
      <c r="L11" s="21">
        <f>K11</f>
        <v>437</v>
      </c>
      <c r="M11" s="21">
        <v>1400</v>
      </c>
      <c r="N11" s="21">
        <v>313</v>
      </c>
      <c r="O11" s="21">
        <v>313</v>
      </c>
      <c r="P11" s="21">
        <v>387</v>
      </c>
      <c r="Q11" s="21">
        <v>387</v>
      </c>
      <c r="R11" s="21">
        <v>1400</v>
      </c>
      <c r="S11" s="21">
        <v>505</v>
      </c>
      <c r="T11" s="21">
        <v>305</v>
      </c>
      <c r="U11" s="21">
        <v>295</v>
      </c>
      <c r="V11" s="21">
        <f>R11-S11-U11-T11</f>
        <v>295</v>
      </c>
      <c r="W11" s="17">
        <v>1250</v>
      </c>
      <c r="X11" s="17">
        <v>308.94</v>
      </c>
      <c r="Y11" s="17">
        <v>364.22</v>
      </c>
      <c r="Z11" s="17">
        <v>308.95999999999998</v>
      </c>
      <c r="AA11" s="17">
        <f>W11-Z11-Y11-X11</f>
        <v>267.88</v>
      </c>
      <c r="AB11" s="17">
        <f t="shared" si="2"/>
        <v>250</v>
      </c>
      <c r="AC11" s="17">
        <f t="shared" si="3"/>
        <v>150</v>
      </c>
      <c r="AD11" s="39">
        <v>0.16669999999999999</v>
      </c>
      <c r="AE11" s="16" t="s">
        <v>61</v>
      </c>
      <c r="AF11" s="99">
        <v>400</v>
      </c>
      <c r="AG11" s="17">
        <v>50</v>
      </c>
      <c r="AH11" s="48">
        <v>66.569999999999993</v>
      </c>
    </row>
    <row r="12" spans="1:36" ht="21" customHeight="1" x14ac:dyDescent="0.15">
      <c r="A12" s="92"/>
      <c r="B12" s="92"/>
      <c r="C12" s="92"/>
      <c r="D12" s="97"/>
      <c r="E12" s="15" t="s">
        <v>73</v>
      </c>
      <c r="F12" s="16"/>
      <c r="G12" s="17">
        <v>100</v>
      </c>
      <c r="H12" s="18">
        <f>506-12.37</f>
        <v>493.63</v>
      </c>
      <c r="I12" s="18">
        <v>126.5</v>
      </c>
      <c r="J12" s="18">
        <f>I12</f>
        <v>126.5</v>
      </c>
      <c r="K12" s="18">
        <f>(H12-J12-I12)/2</f>
        <v>120.32</v>
      </c>
      <c r="L12" s="18">
        <f>K12-0.01</f>
        <v>120.31</v>
      </c>
      <c r="M12" s="18">
        <f>506-12.37</f>
        <v>493.63</v>
      </c>
      <c r="N12" s="18">
        <v>126.5</v>
      </c>
      <c r="O12" s="18">
        <f>N12</f>
        <v>126.5</v>
      </c>
      <c r="P12" s="18">
        <v>120.32</v>
      </c>
      <c r="Q12" s="18">
        <v>120.31</v>
      </c>
      <c r="R12" s="21">
        <v>506</v>
      </c>
      <c r="S12" s="21">
        <v>126.5</v>
      </c>
      <c r="T12" s="21">
        <v>126.5</v>
      </c>
      <c r="U12" s="21">
        <f>T12</f>
        <v>126.5</v>
      </c>
      <c r="V12" s="21">
        <f>U12</f>
        <v>126.5</v>
      </c>
      <c r="W12" s="31">
        <f>185.81-12.37-1.48</f>
        <v>171.96</v>
      </c>
      <c r="X12" s="31">
        <v>33.36</v>
      </c>
      <c r="Y12" s="31">
        <v>33.36</v>
      </c>
      <c r="Z12" s="31">
        <v>33.36</v>
      </c>
      <c r="AA12" s="31">
        <f>W12-Z12-Y12-X12</f>
        <v>71.88</v>
      </c>
      <c r="AB12" s="17">
        <f t="shared" si="2"/>
        <v>321.67</v>
      </c>
      <c r="AC12" s="17">
        <f t="shared" si="3"/>
        <v>321.67</v>
      </c>
      <c r="AD12" s="39">
        <v>0.63280000000000003</v>
      </c>
      <c r="AE12" s="16" t="s">
        <v>61</v>
      </c>
      <c r="AF12" s="100"/>
      <c r="AG12" s="17">
        <v>5</v>
      </c>
      <c r="AH12" s="48">
        <v>24.06</v>
      </c>
      <c r="AI12" s="7">
        <v>1.48</v>
      </c>
      <c r="AJ12" s="48"/>
    </row>
    <row r="13" spans="1:36" ht="21" customHeight="1" x14ac:dyDescent="0.15">
      <c r="A13" s="92"/>
      <c r="B13" s="92"/>
      <c r="C13" s="13" t="s">
        <v>74</v>
      </c>
      <c r="D13" s="97"/>
      <c r="E13" s="22" t="s">
        <v>75</v>
      </c>
      <c r="F13" s="16"/>
      <c r="G13" s="17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17"/>
      <c r="X13" s="17"/>
      <c r="Y13" s="17"/>
      <c r="Z13" s="17"/>
      <c r="AA13" s="17"/>
      <c r="AB13" s="17">
        <f t="shared" si="2"/>
        <v>0</v>
      </c>
      <c r="AC13" s="17">
        <f t="shared" si="3"/>
        <v>0</v>
      </c>
      <c r="AD13" s="39"/>
      <c r="AE13" s="16"/>
      <c r="AF13" s="41"/>
      <c r="AG13" s="17"/>
      <c r="AH13" s="48"/>
      <c r="AJ13" s="48"/>
    </row>
    <row r="14" spans="1:36" ht="23.45" customHeight="1" x14ac:dyDescent="0.15">
      <c r="A14" s="92"/>
      <c r="B14" s="92"/>
      <c r="C14" s="96" t="s">
        <v>76</v>
      </c>
      <c r="D14" s="98" t="s">
        <v>77</v>
      </c>
      <c r="E14" s="15" t="s">
        <v>78</v>
      </c>
      <c r="F14" s="16"/>
      <c r="G14" s="17">
        <v>1000</v>
      </c>
      <c r="H14" s="18">
        <f>1664-50.09</f>
        <v>1613.91</v>
      </c>
      <c r="I14" s="18">
        <v>416</v>
      </c>
      <c r="J14" s="18">
        <v>416</v>
      </c>
      <c r="K14" s="18">
        <f>(H14-J14-I14)/2</f>
        <v>390.96</v>
      </c>
      <c r="L14" s="18">
        <f>K14-0.01</f>
        <v>390.95</v>
      </c>
      <c r="M14" s="18">
        <f>1664-50.09</f>
        <v>1613.91</v>
      </c>
      <c r="N14" s="18">
        <v>416</v>
      </c>
      <c r="O14" s="18">
        <v>416</v>
      </c>
      <c r="P14" s="18">
        <v>390.96</v>
      </c>
      <c r="Q14" s="18">
        <v>390.95</v>
      </c>
      <c r="R14" s="21">
        <v>1391</v>
      </c>
      <c r="S14" s="21">
        <f>R14/4</f>
        <v>347.75</v>
      </c>
      <c r="T14" s="21">
        <f>S14</f>
        <v>347.75</v>
      </c>
      <c r="U14" s="21">
        <f>T14</f>
        <v>347.75</v>
      </c>
      <c r="V14" s="21">
        <f>U14</f>
        <v>347.75</v>
      </c>
      <c r="W14" s="31">
        <f>965.2-50.09-6.03</f>
        <v>909.08</v>
      </c>
      <c r="X14" s="31">
        <v>70.78</v>
      </c>
      <c r="Y14" s="31">
        <v>502.4</v>
      </c>
      <c r="Z14" s="31">
        <v>72.12</v>
      </c>
      <c r="AA14" s="31">
        <f>W14-Z14-Y14-X14</f>
        <v>263.77999999999997</v>
      </c>
      <c r="AB14" s="17">
        <f t="shared" si="2"/>
        <v>704.83</v>
      </c>
      <c r="AC14" s="17">
        <f t="shared" si="3"/>
        <v>704.83</v>
      </c>
      <c r="AD14" s="39">
        <v>0.42</v>
      </c>
      <c r="AE14" s="16" t="s">
        <v>61</v>
      </c>
      <c r="AF14" s="99">
        <v>1350</v>
      </c>
      <c r="AG14" s="17">
        <v>50</v>
      </c>
      <c r="AH14" s="48">
        <v>55.34</v>
      </c>
      <c r="AI14" s="7">
        <v>6.03</v>
      </c>
    </row>
    <row r="15" spans="1:36" ht="22.35" customHeight="1" x14ac:dyDescent="0.15">
      <c r="A15" s="92"/>
      <c r="B15" s="92"/>
      <c r="C15" s="96"/>
      <c r="D15" s="98"/>
      <c r="E15" s="15" t="s">
        <v>79</v>
      </c>
      <c r="F15" s="16"/>
      <c r="G15" s="20" t="s">
        <v>80</v>
      </c>
      <c r="H15" s="18">
        <f>800-43.2</f>
        <v>756.8</v>
      </c>
      <c r="I15" s="18">
        <v>180</v>
      </c>
      <c r="J15" s="18">
        <v>220</v>
      </c>
      <c r="K15" s="18">
        <v>180</v>
      </c>
      <c r="L15" s="18">
        <f>H15-K15-J15-I15</f>
        <v>176.8</v>
      </c>
      <c r="M15" s="18">
        <f>800-43.2</f>
        <v>756.8</v>
      </c>
      <c r="N15" s="18">
        <v>180</v>
      </c>
      <c r="O15" s="18">
        <v>220</v>
      </c>
      <c r="P15" s="18">
        <v>180</v>
      </c>
      <c r="Q15" s="18">
        <v>176.8</v>
      </c>
      <c r="R15" s="21">
        <v>800</v>
      </c>
      <c r="S15" s="21"/>
      <c r="T15" s="21">
        <v>400</v>
      </c>
      <c r="U15" s="21"/>
      <c r="V15" s="21">
        <v>400</v>
      </c>
      <c r="W15" s="31">
        <f>359.47-43.2-5.18</f>
        <v>311.08999999999997</v>
      </c>
      <c r="X15" s="31">
        <v>34.659999999999997</v>
      </c>
      <c r="Y15" s="31">
        <v>124.92</v>
      </c>
      <c r="Z15" s="31">
        <v>33.94</v>
      </c>
      <c r="AA15" s="31">
        <f>W15-Z15-Y15-X15</f>
        <v>117.57</v>
      </c>
      <c r="AB15" s="17">
        <f t="shared" si="2"/>
        <v>445.71</v>
      </c>
      <c r="AC15" s="17">
        <f t="shared" si="3"/>
        <v>445.71</v>
      </c>
      <c r="AD15" s="39">
        <v>0.55069999999999997</v>
      </c>
      <c r="AE15" s="16" t="s">
        <v>61</v>
      </c>
      <c r="AF15" s="100"/>
      <c r="AG15" s="17"/>
      <c r="AH15" s="48">
        <v>38.04</v>
      </c>
      <c r="AI15" s="7">
        <v>5.18</v>
      </c>
    </row>
    <row r="16" spans="1:36" ht="22.35" customHeight="1" x14ac:dyDescent="0.15">
      <c r="A16" s="92"/>
      <c r="B16" s="92"/>
      <c r="C16" s="16" t="s">
        <v>81</v>
      </c>
      <c r="D16" s="23" t="s">
        <v>82</v>
      </c>
      <c r="E16" s="15" t="s">
        <v>83</v>
      </c>
      <c r="F16" s="16"/>
      <c r="G16" s="24">
        <v>0</v>
      </c>
      <c r="H16" s="18">
        <f>300-41.38</f>
        <v>258.62</v>
      </c>
      <c r="I16" s="18">
        <v>75</v>
      </c>
      <c r="J16" s="18">
        <v>75</v>
      </c>
      <c r="K16" s="18">
        <f>(H16-J16-I16)/2</f>
        <v>54.31</v>
      </c>
      <c r="L16" s="18">
        <f>K16</f>
        <v>54.31</v>
      </c>
      <c r="M16" s="18">
        <f>300-41.38</f>
        <v>258.62</v>
      </c>
      <c r="N16" s="18">
        <v>75</v>
      </c>
      <c r="O16" s="18">
        <v>75</v>
      </c>
      <c r="P16" s="18">
        <v>54.31</v>
      </c>
      <c r="Q16" s="18">
        <v>54.31</v>
      </c>
      <c r="R16" s="21">
        <v>300</v>
      </c>
      <c r="S16" s="21">
        <v>75</v>
      </c>
      <c r="T16" s="21">
        <v>75</v>
      </c>
      <c r="U16" s="21">
        <v>75</v>
      </c>
      <c r="V16" s="21">
        <v>75</v>
      </c>
      <c r="W16" s="31">
        <f>130.1-41.38-4.97</f>
        <v>83.75</v>
      </c>
      <c r="X16" s="31">
        <v>20.94</v>
      </c>
      <c r="Y16" s="31">
        <v>20.94</v>
      </c>
      <c r="Z16" s="31">
        <v>20.94</v>
      </c>
      <c r="AA16" s="31">
        <f>W16-Z16-Y16-X16</f>
        <v>20.93</v>
      </c>
      <c r="AB16" s="17">
        <f t="shared" si="2"/>
        <v>174.87</v>
      </c>
      <c r="AC16" s="17">
        <f t="shared" si="3"/>
        <v>174.87</v>
      </c>
      <c r="AD16" s="39">
        <v>0.56630000000000003</v>
      </c>
      <c r="AE16" s="16" t="s">
        <v>61</v>
      </c>
      <c r="AF16" s="17">
        <v>170</v>
      </c>
      <c r="AG16" s="17"/>
      <c r="AH16" s="48">
        <v>14.26</v>
      </c>
      <c r="AI16" s="7">
        <v>4.97</v>
      </c>
    </row>
    <row r="17" spans="1:33" ht="16.5" customHeight="1" x14ac:dyDescent="0.15">
      <c r="A17" s="92"/>
      <c r="B17" s="92"/>
      <c r="C17" s="25" t="s">
        <v>84</v>
      </c>
      <c r="D17" s="23" t="s">
        <v>85</v>
      </c>
      <c r="E17" s="15" t="s">
        <v>86</v>
      </c>
      <c r="F17" s="16"/>
      <c r="G17" s="17"/>
      <c r="H17" s="26">
        <v>205</v>
      </c>
      <c r="I17" s="26">
        <f>H17/4</f>
        <v>51.25</v>
      </c>
      <c r="J17" s="26">
        <f>I17</f>
        <v>51.25</v>
      </c>
      <c r="K17" s="26">
        <f>J17</f>
        <v>51.25</v>
      </c>
      <c r="L17" s="26">
        <f>H17-I17-J17-K17</f>
        <v>51.25</v>
      </c>
      <c r="M17" s="21">
        <v>205</v>
      </c>
      <c r="N17" s="21">
        <v>51.25</v>
      </c>
      <c r="O17" s="21">
        <v>51.25</v>
      </c>
      <c r="P17" s="21">
        <v>51.25</v>
      </c>
      <c r="Q17" s="21">
        <v>51.25</v>
      </c>
      <c r="R17" s="21"/>
      <c r="S17" s="21"/>
      <c r="T17" s="21"/>
      <c r="U17" s="21"/>
      <c r="V17" s="21"/>
      <c r="W17" s="17">
        <v>209.36</v>
      </c>
      <c r="X17" s="17">
        <v>52.09</v>
      </c>
      <c r="Y17" s="17">
        <v>52.1</v>
      </c>
      <c r="Z17" s="17">
        <v>52.09</v>
      </c>
      <c r="AA17" s="17">
        <f>W17-X17-Y17-Z17</f>
        <v>53.08</v>
      </c>
      <c r="AB17" s="17">
        <f t="shared" si="2"/>
        <v>-4.3600000000000003</v>
      </c>
      <c r="AC17" s="17">
        <f t="shared" si="3"/>
        <v>-4.3600000000000003</v>
      </c>
      <c r="AD17" s="39">
        <v>-2.1299999999999999E-2</v>
      </c>
      <c r="AE17" s="16" t="s">
        <v>65</v>
      </c>
      <c r="AF17" s="17"/>
    </row>
    <row r="18" spans="1:33" ht="16.5" customHeight="1" x14ac:dyDescent="0.15">
      <c r="A18" s="92" t="s">
        <v>87</v>
      </c>
      <c r="B18" s="13"/>
      <c r="C18" s="13" t="s">
        <v>74</v>
      </c>
      <c r="D18" s="97" t="s">
        <v>74</v>
      </c>
      <c r="E18" s="15" t="s">
        <v>88</v>
      </c>
      <c r="F18" s="16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>
        <v>535.54999999999995</v>
      </c>
      <c r="X18" s="17">
        <v>133.93</v>
      </c>
      <c r="Y18" s="17">
        <v>133.93</v>
      </c>
      <c r="Z18" s="17">
        <v>133.93</v>
      </c>
      <c r="AA18" s="17">
        <v>133.76</v>
      </c>
      <c r="AB18" s="17"/>
      <c r="AC18" s="17"/>
      <c r="AD18" s="25"/>
      <c r="AE18" s="16" t="s">
        <v>89</v>
      </c>
      <c r="AF18" s="101"/>
    </row>
    <row r="19" spans="1:33" ht="16.5" customHeight="1" x14ac:dyDescent="0.15">
      <c r="A19" s="92"/>
      <c r="B19" s="13"/>
      <c r="C19" s="13" t="s">
        <v>74</v>
      </c>
      <c r="D19" s="97"/>
      <c r="E19" s="15" t="s">
        <v>90</v>
      </c>
      <c r="F19" s="16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>
        <v>329.09</v>
      </c>
      <c r="X19" s="17">
        <v>82.29</v>
      </c>
      <c r="Y19" s="17">
        <v>82.29</v>
      </c>
      <c r="Z19" s="17">
        <v>82.29</v>
      </c>
      <c r="AA19" s="17">
        <f>82.25-0.03</f>
        <v>82.22</v>
      </c>
      <c r="AB19" s="17"/>
      <c r="AC19" s="17"/>
      <c r="AD19" s="25"/>
      <c r="AE19" s="16" t="s">
        <v>89</v>
      </c>
      <c r="AF19" s="101"/>
    </row>
    <row r="20" spans="1:33" ht="16.5" customHeight="1" x14ac:dyDescent="0.15">
      <c r="A20" s="92"/>
      <c r="B20" s="13"/>
      <c r="C20" s="13" t="s">
        <v>74</v>
      </c>
      <c r="D20" s="14" t="s">
        <v>84</v>
      </c>
      <c r="E20" s="15" t="s">
        <v>91</v>
      </c>
      <c r="F20" s="16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>
        <v>350.98</v>
      </c>
      <c r="X20" s="17">
        <v>87.75</v>
      </c>
      <c r="Y20" s="17">
        <v>87.75</v>
      </c>
      <c r="Z20" s="17">
        <v>87.75</v>
      </c>
      <c r="AA20" s="17">
        <v>87.73</v>
      </c>
      <c r="AB20" s="17"/>
      <c r="AC20" s="17"/>
      <c r="AD20" s="25"/>
      <c r="AE20" s="16" t="s">
        <v>92</v>
      </c>
      <c r="AF20" s="17"/>
    </row>
    <row r="21" spans="1:33" ht="16.5" customHeight="1" x14ac:dyDescent="0.15">
      <c r="A21" s="92"/>
      <c r="B21" s="13"/>
      <c r="C21" s="13" t="s">
        <v>74</v>
      </c>
      <c r="D21" s="14" t="s">
        <v>93</v>
      </c>
      <c r="E21" s="15" t="s">
        <v>94</v>
      </c>
      <c r="F21" s="16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32">
        <f>257.51-W27</f>
        <v>251.2</v>
      </c>
      <c r="X21" s="32">
        <f>51.9-X27</f>
        <v>50.32</v>
      </c>
      <c r="Y21" s="32">
        <f>51.9-Y27</f>
        <v>50.32</v>
      </c>
      <c r="Z21" s="32">
        <f>51.9-Z27</f>
        <v>50.32</v>
      </c>
      <c r="AA21" s="32">
        <f>101.81-AA27</f>
        <v>100.24</v>
      </c>
      <c r="AB21" s="17"/>
      <c r="AC21" s="17"/>
      <c r="AD21" s="25"/>
      <c r="AE21" s="16" t="s">
        <v>92</v>
      </c>
      <c r="AF21" s="17"/>
    </row>
    <row r="22" spans="1:33" ht="16.5" customHeight="1" x14ac:dyDescent="0.15">
      <c r="A22" s="92"/>
      <c r="B22" s="13"/>
      <c r="C22" s="13" t="s">
        <v>74</v>
      </c>
      <c r="D22" s="14" t="s">
        <v>95</v>
      </c>
      <c r="E22" s="15" t="s">
        <v>96</v>
      </c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>
        <v>234.12</v>
      </c>
      <c r="X22" s="17">
        <v>47.92</v>
      </c>
      <c r="Y22" s="17">
        <v>65.87</v>
      </c>
      <c r="Z22" s="17">
        <v>47.92</v>
      </c>
      <c r="AA22" s="17">
        <v>72.41</v>
      </c>
      <c r="AB22" s="17"/>
      <c r="AC22" s="17"/>
      <c r="AD22" s="25"/>
      <c r="AE22" s="16" t="s">
        <v>92</v>
      </c>
      <c r="AF22" s="17"/>
    </row>
    <row r="23" spans="1:33" ht="21.75" customHeight="1" x14ac:dyDescent="0.15">
      <c r="A23" s="92"/>
      <c r="B23" s="13"/>
      <c r="C23" s="13" t="s">
        <v>74</v>
      </c>
      <c r="D23" s="14" t="s">
        <v>97</v>
      </c>
      <c r="E23" s="15" t="s">
        <v>98</v>
      </c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32">
        <v>337.75</v>
      </c>
      <c r="X23" s="32">
        <v>29.68</v>
      </c>
      <c r="Y23" s="32">
        <v>219.24</v>
      </c>
      <c r="Z23" s="32">
        <v>39.49</v>
      </c>
      <c r="AA23" s="32">
        <v>49.34</v>
      </c>
      <c r="AB23" s="17"/>
      <c r="AC23" s="17"/>
      <c r="AD23" s="25"/>
      <c r="AE23" s="16" t="s">
        <v>92</v>
      </c>
      <c r="AF23" s="17"/>
    </row>
    <row r="24" spans="1:33" ht="16.5" customHeight="1" x14ac:dyDescent="0.15">
      <c r="A24" s="92"/>
      <c r="B24" s="13"/>
      <c r="C24" s="13" t="s">
        <v>99</v>
      </c>
      <c r="D24" s="14" t="s">
        <v>99</v>
      </c>
      <c r="E24" s="15" t="s">
        <v>100</v>
      </c>
      <c r="F24" s="1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>
        <v>294.91000000000003</v>
      </c>
      <c r="X24" s="17">
        <v>73.739999999999995</v>
      </c>
      <c r="Y24" s="17">
        <v>73.739999999999995</v>
      </c>
      <c r="Z24" s="17">
        <v>73.73</v>
      </c>
      <c r="AA24" s="17">
        <v>73.7</v>
      </c>
      <c r="AB24" s="17"/>
      <c r="AC24" s="17"/>
      <c r="AD24" s="25"/>
      <c r="AE24" s="16" t="s">
        <v>92</v>
      </c>
      <c r="AF24" s="17"/>
    </row>
    <row r="25" spans="1:33" ht="16.5" customHeight="1" x14ac:dyDescent="0.15">
      <c r="A25" s="92"/>
      <c r="B25" s="13"/>
      <c r="C25" s="13" t="s">
        <v>74</v>
      </c>
      <c r="D25" s="27" t="s">
        <v>101</v>
      </c>
      <c r="E25" s="15" t="s">
        <v>102</v>
      </c>
      <c r="F25" s="1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>
        <v>354.3</v>
      </c>
      <c r="X25" s="17">
        <v>88.59</v>
      </c>
      <c r="Y25" s="17">
        <v>88.59</v>
      </c>
      <c r="Z25" s="17">
        <v>88.59</v>
      </c>
      <c r="AA25" s="17">
        <f>W25-X25-Y25-Z25</f>
        <v>88.53</v>
      </c>
      <c r="AB25" s="17"/>
      <c r="AC25" s="17"/>
      <c r="AD25" s="25"/>
      <c r="AE25" s="16" t="s">
        <v>92</v>
      </c>
      <c r="AF25" s="17"/>
    </row>
    <row r="26" spans="1:33" ht="16.5" customHeight="1" x14ac:dyDescent="0.15">
      <c r="A26" s="92"/>
      <c r="B26" s="13"/>
      <c r="C26" s="13" t="s">
        <v>74</v>
      </c>
      <c r="D26" s="14" t="s">
        <v>103</v>
      </c>
      <c r="E26" s="15" t="s">
        <v>104</v>
      </c>
      <c r="F26" s="16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>
        <v>53.48</v>
      </c>
      <c r="X26" s="17">
        <v>13.55</v>
      </c>
      <c r="Y26" s="17">
        <v>13.38</v>
      </c>
      <c r="Z26" s="17">
        <v>13.38</v>
      </c>
      <c r="AA26" s="17">
        <f>W26-X26-Y26-Z26</f>
        <v>13.17</v>
      </c>
      <c r="AB26" s="17"/>
      <c r="AC26" s="17"/>
      <c r="AD26" s="25"/>
      <c r="AE26" s="16" t="s">
        <v>92</v>
      </c>
      <c r="AF26" s="17"/>
    </row>
    <row r="27" spans="1:33" ht="16.5" customHeight="1" x14ac:dyDescent="0.15">
      <c r="A27" s="92"/>
      <c r="B27" s="13"/>
      <c r="C27" s="13" t="s">
        <v>74</v>
      </c>
      <c r="D27" s="14" t="s">
        <v>105</v>
      </c>
      <c r="E27" s="71" t="s">
        <v>106</v>
      </c>
      <c r="F27" s="16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32">
        <v>6.31</v>
      </c>
      <c r="X27" s="32">
        <f>W27/4</f>
        <v>1.58</v>
      </c>
      <c r="Y27" s="32">
        <v>1.58</v>
      </c>
      <c r="Z27" s="32">
        <v>1.58</v>
      </c>
      <c r="AA27" s="32">
        <f>W27-X27-Y27-Z27</f>
        <v>1.57</v>
      </c>
      <c r="AB27" s="17"/>
      <c r="AC27" s="17"/>
      <c r="AD27" s="25"/>
      <c r="AE27" s="16" t="s">
        <v>92</v>
      </c>
      <c r="AF27" s="17"/>
    </row>
    <row r="28" spans="1:33" ht="16.5" customHeight="1" x14ac:dyDescent="0.15">
      <c r="A28" s="81" t="s">
        <v>107</v>
      </c>
      <c r="B28" s="82"/>
      <c r="C28" s="82"/>
      <c r="D28" s="82"/>
      <c r="E28" s="83"/>
      <c r="F28" s="28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>
        <f>SUM(W6:W27)</f>
        <v>10450.17</v>
      </c>
      <c r="X28" s="29">
        <f t="shared" ref="X28:AA28" si="4">SUM(X6:X27)</f>
        <v>2385.91</v>
      </c>
      <c r="Y28" s="29">
        <f t="shared" si="4"/>
        <v>3328.31</v>
      </c>
      <c r="Z28" s="29">
        <f t="shared" si="4"/>
        <v>2282.6799999999998</v>
      </c>
      <c r="AA28" s="29">
        <f t="shared" si="4"/>
        <v>2453.27</v>
      </c>
      <c r="AB28" s="29"/>
      <c r="AC28" s="29"/>
      <c r="AD28" s="25"/>
      <c r="AE28" s="16"/>
      <c r="AF28" s="17"/>
    </row>
    <row r="29" spans="1:33" ht="16.5" customHeight="1" x14ac:dyDescent="0.15">
      <c r="A29" s="93" t="s">
        <v>108</v>
      </c>
      <c r="B29" s="13"/>
      <c r="C29" s="13" t="s">
        <v>74</v>
      </c>
      <c r="D29" s="14" t="s">
        <v>95</v>
      </c>
      <c r="E29" s="30" t="s">
        <v>109</v>
      </c>
      <c r="F29" s="16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>
        <f>AI6+AI9+AI10+AI12+AI14+AI15+AI16</f>
        <v>86.32</v>
      </c>
      <c r="X29" s="17">
        <f>W29/4</f>
        <v>21.58</v>
      </c>
      <c r="Y29" s="17">
        <f>X29</f>
        <v>21.58</v>
      </c>
      <c r="Z29" s="17">
        <f>Y29</f>
        <v>21.58</v>
      </c>
      <c r="AA29" s="17">
        <f>W29-X29-Z29-Y29</f>
        <v>21.58</v>
      </c>
      <c r="AB29" s="17"/>
      <c r="AC29" s="17"/>
      <c r="AD29" s="25"/>
      <c r="AE29" s="16"/>
      <c r="AF29" s="17"/>
    </row>
    <row r="30" spans="1:33" ht="16.5" customHeight="1" x14ac:dyDescent="0.15">
      <c r="A30" s="94"/>
      <c r="B30" s="13"/>
      <c r="C30" s="13" t="s">
        <v>74</v>
      </c>
      <c r="D30" s="14" t="s">
        <v>95</v>
      </c>
      <c r="E30" s="23" t="s">
        <v>110</v>
      </c>
      <c r="F30" s="16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>
        <v>409.86</v>
      </c>
      <c r="X30" s="17">
        <f>W30/4</f>
        <v>102.47</v>
      </c>
      <c r="Y30" s="17">
        <f>X30</f>
        <v>102.47</v>
      </c>
      <c r="Z30" s="17">
        <f>Y30</f>
        <v>102.47</v>
      </c>
      <c r="AA30" s="17">
        <f>W30-X30-Z30-Y30</f>
        <v>102.45</v>
      </c>
      <c r="AB30" s="17"/>
      <c r="AC30" s="17"/>
      <c r="AD30" s="25"/>
      <c r="AE30" s="16"/>
      <c r="AF30" s="17"/>
    </row>
    <row r="31" spans="1:33" ht="16.5" customHeight="1" x14ac:dyDescent="0.15">
      <c r="A31" s="84" t="s">
        <v>111</v>
      </c>
      <c r="B31" s="85"/>
      <c r="C31" s="85"/>
      <c r="D31" s="85"/>
      <c r="E31" s="86"/>
      <c r="F31" s="28"/>
      <c r="G31" s="29">
        <v>5100</v>
      </c>
      <c r="H31" s="29">
        <f t="shared" ref="H31:R31" si="5">SUM(H6:H30)</f>
        <v>14618.86</v>
      </c>
      <c r="I31" s="29"/>
      <c r="J31" s="29"/>
      <c r="K31" s="29"/>
      <c r="L31" s="29"/>
      <c r="M31" s="29">
        <f t="shared" si="5"/>
        <v>14018.86</v>
      </c>
      <c r="N31" s="29"/>
      <c r="O31" s="29"/>
      <c r="P31" s="29"/>
      <c r="Q31" s="29"/>
      <c r="R31" s="29">
        <f t="shared" si="5"/>
        <v>13447</v>
      </c>
      <c r="S31" s="29"/>
      <c r="T31" s="29"/>
      <c r="U31" s="29"/>
      <c r="V31" s="29"/>
      <c r="W31" s="29">
        <f>W28+W29+W30</f>
        <v>10946.35</v>
      </c>
      <c r="X31" s="29">
        <f t="shared" ref="X31:AA31" si="6">X28+X29+X30</f>
        <v>2509.96</v>
      </c>
      <c r="Y31" s="29">
        <f t="shared" si="6"/>
        <v>3452.36</v>
      </c>
      <c r="Z31" s="29">
        <f t="shared" si="6"/>
        <v>2406.73</v>
      </c>
      <c r="AA31" s="29">
        <f t="shared" si="6"/>
        <v>2577.3000000000002</v>
      </c>
      <c r="AB31" s="29">
        <f>SUM(AB6:AB30)</f>
        <v>6916.38</v>
      </c>
      <c r="AC31" s="29">
        <f>SUM(AC6:AC30)</f>
        <v>6316.38</v>
      </c>
      <c r="AD31" s="17">
        <v>3.72</v>
      </c>
      <c r="AE31" s="16"/>
      <c r="AF31" s="42"/>
    </row>
    <row r="32" spans="1:33" ht="21.75" customHeight="1" x14ac:dyDescent="0.15">
      <c r="A32" s="87" t="s">
        <v>112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9"/>
      <c r="X32" s="33"/>
      <c r="Y32" s="33"/>
      <c r="Z32" s="33"/>
      <c r="AA32" s="33"/>
      <c r="AB32" s="43">
        <f>H31-W31</f>
        <v>3672.51</v>
      </c>
      <c r="AC32" s="43">
        <f>M31-W31</f>
        <v>3072.51</v>
      </c>
      <c r="AD32" s="25"/>
      <c r="AE32" s="16"/>
      <c r="AG32" s="50">
        <v>0</v>
      </c>
    </row>
    <row r="34" spans="8:23" x14ac:dyDescent="0.15">
      <c r="H34" s="5">
        <v>600</v>
      </c>
      <c r="W34" s="5">
        <f>W28+W30</f>
        <v>10860.03</v>
      </c>
    </row>
  </sheetData>
  <mergeCells count="31">
    <mergeCell ref="AF9:AF10"/>
    <mergeCell ref="AF11:AF12"/>
    <mergeCell ref="AF14:AF15"/>
    <mergeCell ref="AF18:AF19"/>
    <mergeCell ref="D9:D10"/>
    <mergeCell ref="D11:D13"/>
    <mergeCell ref="D14:D15"/>
    <mergeCell ref="D18:D19"/>
    <mergeCell ref="E3:E4"/>
    <mergeCell ref="A5:E5"/>
    <mergeCell ref="A28:E28"/>
    <mergeCell ref="A31:E31"/>
    <mergeCell ref="A32:W32"/>
    <mergeCell ref="A3:A4"/>
    <mergeCell ref="A6:A17"/>
    <mergeCell ref="A18:A27"/>
    <mergeCell ref="A29:A30"/>
    <mergeCell ref="B6:B17"/>
    <mergeCell ref="C3:C4"/>
    <mergeCell ref="C6:C8"/>
    <mergeCell ref="C9:C10"/>
    <mergeCell ref="C11:C12"/>
    <mergeCell ref="C14:C15"/>
    <mergeCell ref="D3:D4"/>
    <mergeCell ref="D6:D8"/>
    <mergeCell ref="A1:AD1"/>
    <mergeCell ref="H3:L3"/>
    <mergeCell ref="M3:Q3"/>
    <mergeCell ref="R3:V3"/>
    <mergeCell ref="W3:AA3"/>
    <mergeCell ref="G3:G4"/>
  </mergeCells>
  <phoneticPr fontId="19" type="noConversion"/>
  <pageMargins left="0.43263888888888902" right="0.43263888888888902" top="0.35416666666666702" bottom="0.35416666666666702" header="0.31458333333333299" footer="0.31458333333333299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招聘计划表</vt:lpstr>
      <vt:lpstr>总体目标季度分解</vt:lpstr>
      <vt:lpstr>总体目标季度分解!Print_Area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Win10</cp:lastModifiedBy>
  <cp:lastPrinted>2022-04-06T04:12:00Z</cp:lastPrinted>
  <dcterms:created xsi:type="dcterms:W3CDTF">2006-09-16T00:00:00Z</dcterms:created>
  <dcterms:modified xsi:type="dcterms:W3CDTF">2024-07-17T02:14:24Z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8E980D2B2F9848C2A912B1ADF390788D</vt:lpwstr>
  </property>
</Properties>
</file>